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llarm.FARMA\CloudStation\Outils Excel\LSS parameters\"/>
    </mc:Choice>
  </mc:AlternateContent>
  <bookViews>
    <workbookView showHorizontalScroll="0" showVerticalScroll="0" showSheetTabs="0" xWindow="-105" yWindow="495" windowWidth="23250" windowHeight="12570"/>
  </bookViews>
  <sheets>
    <sheet name="LSS parameters" sheetId="2" r:id="rId1"/>
    <sheet name="Explanations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P8" i="2" l="1"/>
  <c r="R8" i="2"/>
  <c r="Q8" i="2"/>
  <c r="O20" i="2" l="1"/>
  <c r="O21" i="2"/>
  <c r="P15" i="2" l="1"/>
  <c r="P16" i="2"/>
  <c r="P17" i="2"/>
  <c r="P18" i="2"/>
  <c r="C11" i="2"/>
  <c r="C10" i="2"/>
  <c r="P7" i="2" l="1"/>
  <c r="Q7" i="2"/>
  <c r="R7" i="2"/>
  <c r="O6" i="2"/>
  <c r="P6" i="2"/>
  <c r="O16" i="2"/>
  <c r="P5" i="2"/>
  <c r="O5" i="2"/>
  <c r="O15" i="2"/>
  <c r="Q6" i="2"/>
  <c r="R6" i="2"/>
  <c r="Q5" i="2"/>
  <c r="R5" i="2"/>
  <c r="O7" i="2"/>
  <c r="O17" i="2"/>
  <c r="O8" i="2"/>
  <c r="O18" i="2"/>
  <c r="P9" i="2" l="1"/>
  <c r="F15" i="2" s="1"/>
  <c r="F31" i="2" s="1"/>
  <c r="Q10" i="2"/>
  <c r="Q9" i="2"/>
  <c r="I15" i="2" s="1"/>
  <c r="I31" i="2" s="1"/>
  <c r="O10" i="2"/>
  <c r="O9" i="2"/>
  <c r="C15" i="2" s="1"/>
  <c r="P10" i="2"/>
  <c r="R9" i="2"/>
  <c r="L15" i="2" s="1"/>
  <c r="L31" i="2" s="1"/>
  <c r="R10" i="2"/>
  <c r="I19" i="2" l="1"/>
  <c r="I18" i="2"/>
  <c r="L19" i="2"/>
  <c r="L18" i="2"/>
  <c r="C19" i="2"/>
  <c r="C18" i="2"/>
  <c r="C31" i="2"/>
  <c r="F19" i="2"/>
  <c r="F18" i="2"/>
  <c r="C16" i="2"/>
  <c r="C28" i="2" s="1"/>
  <c r="L16" i="2"/>
  <c r="F16" i="2"/>
  <c r="F28" i="2" s="1"/>
  <c r="I16" i="2"/>
  <c r="I28" i="2" s="1"/>
  <c r="I29" i="2" l="1"/>
  <c r="F29" i="2"/>
  <c r="C29" i="2"/>
  <c r="L28" i="2"/>
  <c r="F17" i="2"/>
  <c r="P11" i="2" s="1"/>
  <c r="L17" i="2"/>
  <c r="R11" i="2" s="1"/>
  <c r="Q12" i="2"/>
  <c r="I17" i="2"/>
  <c r="Q11" i="2" s="1"/>
  <c r="C17" i="2"/>
  <c r="O11" i="2" s="1"/>
  <c r="I30" i="2" l="1"/>
  <c r="P12" i="2"/>
  <c r="R12" i="2"/>
  <c r="L29" i="2"/>
  <c r="O12" i="2"/>
  <c r="C30" i="2"/>
  <c r="L30" i="2" l="1"/>
  <c r="F30" i="2"/>
</calcChain>
</file>

<file path=xl/comments1.xml><?xml version="1.0" encoding="utf-8"?>
<comments xmlns="http://schemas.openxmlformats.org/spreadsheetml/2006/main">
  <authors>
    <author>SAB HD</author>
    <author>Davy GUILLARME</author>
  </authors>
  <commentList>
    <comment ref="E7" authorId="0" shapeId="0">
      <text>
        <r>
          <rPr>
            <sz val="9"/>
            <color indexed="81"/>
            <rFont val="Tahoma"/>
            <family val="2"/>
          </rPr>
          <t>The retention times have to be entered from smallest to largest.</t>
        </r>
      </text>
    </comment>
    <comment ref="B17" authorId="0" shapeId="0">
      <text>
        <r>
          <rPr>
            <sz val="9"/>
            <color indexed="81"/>
            <rFont val="Tahoma"/>
            <family val="2"/>
          </rPr>
          <t>If  log ki &lt; 2.1, it will appear in red.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If  log ki &lt; 2.1, it will appear in red.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If  log ki &lt; 2.1, it will appear in red.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If  log ki &lt; 2.1, it will appear in red.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 xml:space="preserve">If the b value is lower than 0.1, it will appear in red.
</t>
        </r>
      </text>
    </comment>
    <comment ref="E18" authorId="1" shapeId="0">
      <text>
        <r>
          <rPr>
            <sz val="9"/>
            <color indexed="81"/>
            <rFont val="Tahoma"/>
            <family val="2"/>
          </rPr>
          <t xml:space="preserve">If the b value is lower than 0.1, it will appear in red.
</t>
        </r>
      </text>
    </comment>
    <comment ref="H18" authorId="1" shapeId="0">
      <text>
        <r>
          <rPr>
            <sz val="9"/>
            <color indexed="81"/>
            <rFont val="Tahoma"/>
            <family val="2"/>
          </rPr>
          <t xml:space="preserve">If the b value is lower than 0.1, it will appear in red.
</t>
        </r>
      </text>
    </comment>
    <comment ref="K18" authorId="1" shapeId="0">
      <text>
        <r>
          <rPr>
            <sz val="9"/>
            <color indexed="81"/>
            <rFont val="Tahoma"/>
            <family val="2"/>
          </rPr>
          <t xml:space="preserve">If the b value is lower than 0.1, it will appear in red.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 xml:space="preserve">If the b value is higher than 0.5, it will appear in red.
</t>
        </r>
      </text>
    </comment>
    <comment ref="E19" authorId="1" shapeId="0">
      <text>
        <r>
          <rPr>
            <sz val="9"/>
            <color indexed="81"/>
            <rFont val="Tahoma"/>
            <family val="2"/>
          </rPr>
          <t xml:space="preserve">If the b value is higher than 0.5, it will appear in red.
</t>
        </r>
      </text>
    </comment>
    <comment ref="H19" authorId="1" shapeId="0">
      <text>
        <r>
          <rPr>
            <sz val="9"/>
            <color indexed="81"/>
            <rFont val="Tahoma"/>
            <family val="2"/>
          </rPr>
          <t xml:space="preserve">If the b value is higher than 0.5, it will appear in red.
</t>
        </r>
      </text>
    </comment>
    <comment ref="K19" authorId="1" shapeId="0">
      <text>
        <r>
          <rPr>
            <sz val="9"/>
            <color indexed="81"/>
            <rFont val="Tahoma"/>
            <family val="2"/>
          </rPr>
          <t xml:space="preserve">If the b value is higher than 0.5, it will appear in red.
</t>
        </r>
      </text>
    </comment>
    <comment ref="B31" authorId="1" shapeId="0">
      <text>
        <r>
          <rPr>
            <sz val="9"/>
            <color indexed="81"/>
            <rFont val="Tahoma"/>
            <family val="2"/>
          </rPr>
          <t>If b value is outside the range intially tested (extrapolation), the predicted retention times can be less accurate and therefore, the b cell is indicated in red.</t>
        </r>
      </text>
    </comment>
    <comment ref="E31" authorId="1" shapeId="0">
      <text>
        <r>
          <rPr>
            <sz val="9"/>
            <color indexed="81"/>
            <rFont val="Tahoma"/>
            <family val="2"/>
          </rPr>
          <t>If b value is outside the range intially tested (extrapolation), the predicted retention times can be less accurate and therefore, the b cell is indicated in red.</t>
        </r>
      </text>
    </comment>
    <comment ref="H31" authorId="1" shapeId="0">
      <text>
        <r>
          <rPr>
            <sz val="9"/>
            <color indexed="81"/>
            <rFont val="Tahoma"/>
            <family val="2"/>
          </rPr>
          <t>If b value is outside the range intially tested (extrapolation), the predicted retention times can be less accurate and therefore, the b cell is indicated in red.</t>
        </r>
      </text>
    </comment>
    <comment ref="K31" authorId="1" shapeId="0">
      <text>
        <r>
          <rPr>
            <sz val="9"/>
            <color indexed="81"/>
            <rFont val="Tahoma"/>
            <family val="2"/>
          </rPr>
          <t>If b value is outside the range intially tested (extrapolation), the predicted retention times can be less accurate and therefore, the b cell is indicated in red.</t>
        </r>
      </text>
    </comment>
  </commentList>
</comments>
</file>

<file path=xl/sharedStrings.xml><?xml version="1.0" encoding="utf-8"?>
<sst xmlns="http://schemas.openxmlformats.org/spreadsheetml/2006/main" count="120" uniqueCount="79">
  <si>
    <t>t0</t>
  </si>
  <si>
    <t>tr</t>
  </si>
  <si>
    <t>S</t>
  </si>
  <si>
    <t>slope (a)</t>
  </si>
  <si>
    <t>intercept (b)</t>
  </si>
  <si>
    <t>ki</t>
  </si>
  <si>
    <t>Ce</t>
  </si>
  <si>
    <t>Column length</t>
  </si>
  <si>
    <t>Analytical conditions</t>
  </si>
  <si>
    <t>Gradient conditions</t>
  </si>
  <si>
    <t>%initial</t>
  </si>
  <si>
    <t>%final</t>
  </si>
  <si>
    <t>Calculation of LSS parameters</t>
  </si>
  <si>
    <t>ΔΦ</t>
  </si>
  <si>
    <t>Ce gradient 1</t>
  </si>
  <si>
    <t>Ce gradient 2</t>
  </si>
  <si>
    <t>Column diameter</t>
  </si>
  <si>
    <t>Porosity</t>
  </si>
  <si>
    <t>Flow rate</t>
  </si>
  <si>
    <t>Dwell volume</t>
  </si>
  <si>
    <t>Dwell time</t>
  </si>
  <si>
    <t>LSS compound 1</t>
  </si>
  <si>
    <t>LSS compound 2</t>
  </si>
  <si>
    <t>LSS compound 3</t>
  </si>
  <si>
    <t>LSS compound 4</t>
  </si>
  <si>
    <t>Gradient time</t>
  </si>
  <si>
    <t>ki (%ini)</t>
  </si>
  <si>
    <t>gradient time</t>
  </si>
  <si>
    <t>compound 1</t>
  </si>
  <si>
    <t>compound 2</t>
  </si>
  <si>
    <t>compound 3</t>
  </si>
  <si>
    <t>compound 4</t>
  </si>
  <si>
    <t>tr1</t>
  </si>
  <si>
    <t>tr2</t>
  </si>
  <si>
    <t>tr3</t>
  </si>
  <si>
    <t>tr4</t>
  </si>
  <si>
    <t>gradient 1</t>
  </si>
  <si>
    <t>gradient 2</t>
  </si>
  <si>
    <t>gradient 3</t>
  </si>
  <si>
    <t>gradient 4</t>
  </si>
  <si>
    <t>slope</t>
  </si>
  <si>
    <t>Ce gradient 3</t>
  </si>
  <si>
    <t>Ce gradient 4</t>
  </si>
  <si>
    <t>Retention times</t>
  </si>
  <si>
    <t>original gradient</t>
  </si>
  <si>
    <t>other gradient</t>
  </si>
  <si>
    <t>1. Determining LSS parameters based on 2, 3 or 4 initial gradients</t>
  </si>
  <si>
    <t>2. Calculating retention times for any other gradient conditions based on LSS parameters</t>
  </si>
  <si>
    <t>1000 - 10000 Da</t>
  </si>
  <si>
    <t>&gt; 10000 Da</t>
  </si>
  <si>
    <t>&lt; 1000 Da</t>
  </si>
  <si>
    <t>average S</t>
  </si>
  <si>
    <r>
      <t xml:space="preserve">log </t>
    </r>
    <r>
      <rPr>
        <sz val="11"/>
        <color theme="0"/>
        <rFont val="Calibri"/>
        <family val="2"/>
      </rPr>
      <t>β</t>
    </r>
  </si>
  <si>
    <r>
      <t xml:space="preserve">Developed by </t>
    </r>
    <r>
      <rPr>
        <b/>
        <sz val="12"/>
        <rFont val="Arial"/>
        <family val="2"/>
      </rPr>
      <t>Davy GUILLARME</t>
    </r>
    <r>
      <rPr>
        <sz val="12"/>
        <rFont val="Arial"/>
        <family val="2"/>
      </rPr>
      <t xml:space="preserve"> [</t>
    </r>
    <r>
      <rPr>
        <b/>
        <sz val="12"/>
        <color indexed="30"/>
        <rFont val="Arial"/>
        <family val="2"/>
      </rPr>
      <t>davy.guillarme@unige.ch</t>
    </r>
    <r>
      <rPr>
        <sz val="12"/>
        <rFont val="Arial"/>
        <family val="2"/>
      </rPr>
      <t xml:space="preserve">] and </t>
    </r>
    <r>
      <rPr>
        <b/>
        <sz val="12"/>
        <rFont val="Arial"/>
        <family val="2"/>
      </rPr>
      <t>Sabine HEINISCH</t>
    </r>
    <r>
      <rPr>
        <sz val="12"/>
        <rFont val="Arial"/>
        <family val="2"/>
      </rPr>
      <t xml:space="preserve"> [</t>
    </r>
    <r>
      <rPr>
        <b/>
        <sz val="12"/>
        <color rgb="FF0070C0"/>
        <rFont val="Arial"/>
        <family val="2"/>
      </rPr>
      <t>sabine.heinisch@univ-lyon1.fr</t>
    </r>
    <r>
      <rPr>
        <sz val="12"/>
        <rFont val="Arial"/>
        <family val="2"/>
      </rPr>
      <t>]</t>
    </r>
  </si>
  <si>
    <r>
      <t>log k</t>
    </r>
    <r>
      <rPr>
        <b/>
        <vertAlign val="subscript"/>
        <sz val="12"/>
        <color theme="1" tint="0.34998626667073579"/>
        <rFont val="Arial"/>
        <family val="2"/>
      </rPr>
      <t>0</t>
    </r>
    <r>
      <rPr>
        <b/>
        <sz val="12"/>
        <color theme="1" tint="0.34998626667073579"/>
        <rFont val="Arial"/>
        <family val="2"/>
      </rPr>
      <t xml:space="preserve"> (water)</t>
    </r>
  </si>
  <si>
    <r>
      <t>log k</t>
    </r>
    <r>
      <rPr>
        <b/>
        <vertAlign val="subscript"/>
        <sz val="12"/>
        <color theme="6" tint="-0.499984740745262"/>
        <rFont val="Arial"/>
        <family val="2"/>
      </rPr>
      <t>i</t>
    </r>
    <r>
      <rPr>
        <b/>
        <sz val="12"/>
        <color theme="6" tint="-0.499984740745262"/>
        <rFont val="Arial"/>
        <family val="2"/>
      </rPr>
      <t xml:space="preserve"> (%ini)</t>
    </r>
  </si>
  <si>
    <r>
      <t>log k</t>
    </r>
    <r>
      <rPr>
        <b/>
        <vertAlign val="subscript"/>
        <sz val="12"/>
        <color theme="1" tint="0.34998626667073579"/>
        <rFont val="Arial"/>
        <family val="2"/>
      </rPr>
      <t>i</t>
    </r>
    <r>
      <rPr>
        <b/>
        <sz val="12"/>
        <color theme="1" tint="0.34998626667073579"/>
        <rFont val="Arial"/>
        <family val="2"/>
      </rPr>
      <t xml:space="preserve"> (%ini)</t>
    </r>
  </si>
  <si>
    <t>b</t>
  </si>
  <si>
    <t>Help about the Excel software</t>
  </si>
  <si>
    <t>min b value</t>
  </si>
  <si>
    <t>max b value</t>
  </si>
  <si>
    <t>Mobile phase flow rate</t>
  </si>
  <si>
    <t>Column dimensions (length, diameter, porosity) - Standard HPLC column has a porosity of 0.7, while UHPLC column has a porosity of 0.6</t>
  </si>
  <si>
    <t xml:space="preserve">System dwell volume (gradient delay volume)  </t>
  </si>
  <si>
    <t>Gradient conditions (%initial, %final and gradient times) - up to 4 gradient times can be considered, but only 2 are sufficient for the calculations</t>
  </si>
  <si>
    <t xml:space="preserve">The user should enter the requested information in all yellow cells: </t>
  </si>
  <si>
    <t>Column dead time (t0)</t>
  </si>
  <si>
    <t>System dwell time (tD)</t>
  </si>
  <si>
    <t>Retention times of 4 compounds obtained for the different gradient times - retention times have to be indicated from smallest to largest ones</t>
  </si>
  <si>
    <t>S value (slope of the relationship between log k and % organic solvent)</t>
  </si>
  <si>
    <t>log k0</t>
  </si>
  <si>
    <t>log ki - if log ki &lt; 2.1, the cell will appears in red since this means that s and log k0 values may be inaccurate.</t>
  </si>
  <si>
    <t>Minimum and maximum b values - b values should be comprised between 0.1 and 0.5, otherwise, the values are highlighted in red</t>
  </si>
  <si>
    <t>The excel software will calculate all the values reported in blue cells for the four different compounds:</t>
  </si>
  <si>
    <t>Gradient conditions (%initial, %final and gradient time)</t>
  </si>
  <si>
    <t>Retention time (tr) of the compound under the selected gradeint conditions</t>
  </si>
  <si>
    <t>log ki of the compound under the selected gradeint conditions</t>
  </si>
  <si>
    <t>composition at elution (expressed in %B) of the compound under the selected gradeint conditions</t>
  </si>
  <si>
    <t>b value - if b value is outside the range explored in part 1 of  Excel sheet, the cell will appear in red since tr may be inaccurate (extrapolation)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</si>
</sst>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%"/>
    <numFmt numFmtId="165" formatCode="###\ &quot;mm&quot;"/>
    <numFmt numFmtId="166" formatCode="###.0\ &quot;mm&quot;"/>
    <numFmt numFmtId="167" formatCode="0.0\ &quot;mL/min&quot;"/>
    <numFmt numFmtId="168" formatCode="###0.00&quot; min&quot;"/>
    <numFmt numFmtId="169" formatCode="0.##\ &quot;mL&quot;"/>
    <numFmt numFmtId="170" formatCode="###0.0&quot; %/min&quot;"/>
    <numFmt numFmtId="171" formatCode="0.###\ &quot;min&quot;"/>
    <numFmt numFmtId="172" formatCode="###.0\ &quot;min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8"/>
      <color theme="0"/>
      <name val="Calibri"/>
      <family val="2"/>
      <scheme val="minor"/>
    </font>
    <font>
      <b/>
      <i/>
      <sz val="12"/>
      <color theme="6" tint="-0.499984740745262"/>
      <name val="Arial"/>
      <family val="2"/>
    </font>
    <font>
      <b/>
      <sz val="2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2"/>
      <color indexed="30"/>
      <name val="Arial"/>
      <family val="2"/>
    </font>
    <font>
      <b/>
      <sz val="12"/>
      <color theme="1" tint="0.34998626667073579"/>
      <name val="Arial"/>
      <family val="2"/>
    </font>
    <font>
      <b/>
      <vertAlign val="subscript"/>
      <sz val="12"/>
      <color theme="1" tint="0.34998626667073579"/>
      <name val="Arial"/>
      <family val="2"/>
    </font>
    <font>
      <b/>
      <sz val="12"/>
      <color theme="6" tint="-0.499984740745262"/>
      <name val="Arial"/>
      <family val="2"/>
    </font>
    <font>
      <b/>
      <vertAlign val="subscript"/>
      <sz val="12"/>
      <color theme="6" tint="-0.499984740745262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36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</fills>
  <borders count="32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97">
    <xf numFmtId="0" fontId="0" fillId="0" borderId="0" xfId="0"/>
    <xf numFmtId="0" fontId="0" fillId="3" borderId="0" xfId="0" applyFill="1"/>
    <xf numFmtId="165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167" fontId="3" fillId="4" borderId="2" xfId="0" applyNumberFormat="1" applyFont="1" applyFill="1" applyBorder="1" applyAlignment="1" applyProtection="1">
      <alignment horizontal="center" vertical="center"/>
      <protection locked="0"/>
    </xf>
    <xf numFmtId="169" fontId="3" fillId="4" borderId="2" xfId="0" applyNumberFormat="1" applyFont="1" applyFill="1" applyBorder="1" applyAlignment="1" applyProtection="1">
      <alignment horizontal="center" vertical="center"/>
      <protection locked="0"/>
    </xf>
    <xf numFmtId="9" fontId="3" fillId="4" borderId="2" xfId="1" applyFont="1" applyFill="1" applyBorder="1" applyAlignment="1" applyProtection="1">
      <alignment horizontal="center" vertical="center"/>
      <protection locked="0"/>
    </xf>
    <xf numFmtId="171" fontId="3" fillId="4" borderId="2" xfId="0" applyNumberFormat="1" applyFont="1" applyFill="1" applyBorder="1" applyAlignment="1" applyProtection="1">
      <alignment horizontal="center" vertical="center"/>
      <protection locked="0"/>
    </xf>
    <xf numFmtId="171" fontId="3" fillId="4" borderId="6" xfId="0" applyNumberFormat="1" applyFont="1" applyFill="1" applyBorder="1" applyAlignment="1" applyProtection="1">
      <alignment horizontal="center" vertical="center"/>
      <protection locked="0"/>
    </xf>
    <xf numFmtId="172" fontId="3" fillId="4" borderId="2" xfId="0" applyNumberFormat="1" applyFont="1" applyFill="1" applyBorder="1" applyAlignment="1" applyProtection="1">
      <alignment horizontal="center" vertical="center"/>
      <protection locked="0"/>
    </xf>
    <xf numFmtId="172" fontId="3" fillId="4" borderId="1" xfId="0" applyNumberFormat="1" applyFont="1" applyFill="1" applyBorder="1" applyAlignment="1" applyProtection="1">
      <alignment horizontal="center" vertical="center"/>
      <protection locked="0"/>
    </xf>
    <xf numFmtId="172" fontId="3" fillId="4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Protection="1"/>
    <xf numFmtId="171" fontId="3" fillId="4" borderId="11" xfId="0" applyNumberFormat="1" applyFont="1" applyFill="1" applyBorder="1" applyAlignment="1" applyProtection="1">
      <alignment horizontal="center" vertical="center"/>
      <protection locked="0"/>
    </xf>
    <xf numFmtId="171" fontId="3" fillId="4" borderId="9" xfId="0" applyNumberFormat="1" applyFont="1" applyFill="1" applyBorder="1" applyAlignment="1" applyProtection="1">
      <alignment horizontal="center" vertical="center"/>
      <protection locked="0"/>
    </xf>
    <xf numFmtId="0" fontId="19" fillId="3" borderId="31" xfId="2" applyFill="1" applyBorder="1"/>
    <xf numFmtId="0" fontId="19" fillId="3" borderId="0" xfId="2" applyFill="1" applyBorder="1"/>
    <xf numFmtId="0" fontId="19" fillId="3" borderId="0" xfId="2" applyFont="1" applyFill="1" applyBorder="1"/>
    <xf numFmtId="0" fontId="19" fillId="4" borderId="0" xfId="2" applyFont="1" applyFill="1" applyBorder="1"/>
    <xf numFmtId="0" fontId="19" fillId="4" borderId="0" xfId="2" applyFill="1" applyBorder="1"/>
    <xf numFmtId="0" fontId="19" fillId="5" borderId="0" xfId="2" applyFont="1" applyFill="1" applyBorder="1"/>
    <xf numFmtId="0" fontId="19" fillId="5" borderId="0" xfId="2" applyFill="1"/>
    <xf numFmtId="0" fontId="19" fillId="5" borderId="0" xfId="2" applyFill="1" applyBorder="1"/>
    <xf numFmtId="0" fontId="20" fillId="3" borderId="0" xfId="2" applyFont="1" applyFill="1" applyBorder="1" applyAlignment="1">
      <alignment horizontal="center" vertical="center" wrapText="1"/>
    </xf>
    <xf numFmtId="0" fontId="8" fillId="3" borderId="0" xfId="0" applyFont="1" applyFill="1" applyProtection="1"/>
    <xf numFmtId="0" fontId="0" fillId="3" borderId="0" xfId="0" applyFill="1" applyProtection="1"/>
    <xf numFmtId="0" fontId="0" fillId="3" borderId="26" xfId="0" applyFill="1" applyBorder="1" applyProtection="1"/>
    <xf numFmtId="0" fontId="7" fillId="3" borderId="0" xfId="0" applyFont="1" applyFill="1" applyBorder="1" applyProtection="1"/>
    <xf numFmtId="0" fontId="0" fillId="3" borderId="0" xfId="0" applyFill="1" applyBorder="1" applyProtection="1"/>
    <xf numFmtId="0" fontId="0" fillId="3" borderId="27" xfId="0" applyFill="1" applyBorder="1" applyProtection="1"/>
    <xf numFmtId="0" fontId="8" fillId="3" borderId="14" xfId="0" applyFont="1" applyFill="1" applyBorder="1" applyAlignment="1" applyProtection="1">
      <alignment horizontal="center"/>
    </xf>
    <xf numFmtId="0" fontId="8" fillId="3" borderId="14" xfId="0" applyFont="1" applyFill="1" applyBorder="1" applyProtection="1"/>
    <xf numFmtId="0" fontId="8" fillId="3" borderId="15" xfId="0" applyFont="1" applyFill="1" applyBorder="1" applyProtection="1"/>
    <xf numFmtId="0" fontId="2" fillId="3" borderId="1" xfId="0" applyFont="1" applyFill="1" applyBorder="1" applyAlignment="1" applyProtection="1">
      <alignment vertical="center"/>
    </xf>
    <xf numFmtId="0" fontId="9" fillId="3" borderId="13" xfId="0" applyFont="1" applyFill="1" applyBorder="1" applyAlignment="1" applyProtection="1">
      <alignment horizontal="left" vertical="center"/>
    </xf>
    <xf numFmtId="164" fontId="9" fillId="3" borderId="2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8" fillId="3" borderId="16" xfId="0" applyFont="1" applyFill="1" applyBorder="1" applyProtection="1"/>
    <xf numFmtId="0" fontId="0" fillId="0" borderId="0" xfId="0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</xf>
    <xf numFmtId="168" fontId="5" fillId="5" borderId="2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168" fontId="5" fillId="5" borderId="6" xfId="0" applyNumberFormat="1" applyFont="1" applyFill="1" applyBorder="1" applyAlignment="1" applyProtection="1">
      <alignment horizontal="center" vertical="center"/>
    </xf>
    <xf numFmtId="1" fontId="9" fillId="3" borderId="6" xfId="0" applyNumberFormat="1" applyFont="1" applyFill="1" applyBorder="1" applyAlignment="1" applyProtection="1">
      <alignment horizontal="center" vertical="center"/>
    </xf>
    <xf numFmtId="1" fontId="9" fillId="3" borderId="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/>
    </xf>
    <xf numFmtId="2" fontId="14" fillId="5" borderId="2" xfId="0" applyNumberFormat="1" applyFont="1" applyFill="1" applyBorder="1" applyAlignment="1" applyProtection="1">
      <alignment horizontal="center" vertical="center"/>
    </xf>
    <xf numFmtId="170" fontId="9" fillId="3" borderId="2" xfId="0" applyNumberFormat="1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left" vertical="center"/>
    </xf>
    <xf numFmtId="2" fontId="9" fillId="3" borderId="6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vertical="center"/>
    </xf>
    <xf numFmtId="2" fontId="16" fillId="5" borderId="2" xfId="0" applyNumberFormat="1" applyFont="1" applyFill="1" applyBorder="1" applyAlignment="1" applyProtection="1">
      <alignment horizontal="center" vertical="center"/>
    </xf>
    <xf numFmtId="9" fontId="9" fillId="3" borderId="2" xfId="1" applyFont="1" applyFill="1" applyBorder="1" applyAlignment="1" applyProtection="1">
      <alignment horizontal="center" vertical="center"/>
    </xf>
    <xf numFmtId="0" fontId="8" fillId="3" borderId="19" xfId="0" applyFont="1" applyFill="1" applyBorder="1" applyProtection="1"/>
    <xf numFmtId="0" fontId="8" fillId="3" borderId="17" xfId="0" applyFont="1" applyFill="1" applyBorder="1" applyProtection="1"/>
    <xf numFmtId="0" fontId="8" fillId="3" borderId="18" xfId="0" applyFont="1" applyFill="1" applyBorder="1" applyProtection="1"/>
    <xf numFmtId="0" fontId="2" fillId="3" borderId="0" xfId="0" applyFont="1" applyFill="1" applyBorder="1" applyAlignment="1" applyProtection="1">
      <alignment vertical="center"/>
    </xf>
    <xf numFmtId="168" fontId="14" fillId="5" borderId="2" xfId="0" applyNumberFormat="1" applyFont="1" applyFill="1" applyBorder="1" applyAlignment="1" applyProtection="1">
      <alignment horizontal="center" vertical="center"/>
    </xf>
    <xf numFmtId="164" fontId="14" fillId="5" borderId="2" xfId="1" applyNumberFormat="1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2" fontId="14" fillId="5" borderId="6" xfId="0" applyNumberFormat="1" applyFont="1" applyFill="1" applyBorder="1" applyAlignment="1" applyProtection="1">
      <alignment horizontal="center" vertical="center"/>
    </xf>
    <xf numFmtId="0" fontId="0" fillId="3" borderId="29" xfId="0" applyFill="1" applyBorder="1" applyProtection="1"/>
    <xf numFmtId="0" fontId="0" fillId="3" borderId="30" xfId="0" applyFill="1" applyBorder="1" applyProtection="1"/>
    <xf numFmtId="0" fontId="4" fillId="2" borderId="2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171" fontId="3" fillId="4" borderId="9" xfId="0" applyNumberFormat="1" applyFont="1" applyFill="1" applyBorder="1" applyAlignment="1" applyProtection="1">
      <alignment horizontal="center" vertical="center"/>
      <protection locked="0"/>
    </xf>
    <xf numFmtId="17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center"/>
    </xf>
    <xf numFmtId="0" fontId="3" fillId="6" borderId="21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0" fillId="3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2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epgl.unige.ch/labs/fanal/:en" TargetMode="External"/><Relationship Id="rId5" Type="http://schemas.openxmlformats.org/officeDocument/2006/relationships/image" Target="../media/image3.png"/><Relationship Id="rId4" Type="http://schemas.openxmlformats.org/officeDocument/2006/relationships/hyperlink" Target="#Explanation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LSS parameter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1299883</xdr:colOff>
      <xdr:row>1</xdr:row>
      <xdr:rowOff>115000</xdr:rowOff>
    </xdr:to>
    <xdr:pic>
      <xdr:nvPicPr>
        <xdr:cNvPr id="3" name="irc_mi" descr="http://www.unige.ch/presse/charte/logos_unige/UNIGE/UNIGE70.jpg">
          <a:hlinkClick xmlns:r="http://schemas.openxmlformats.org/officeDocument/2006/relationships" r:id="rId1" tooltip="Laboratory of analytical sciences at the University of Gene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433233" cy="51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542925</xdr:colOff>
      <xdr:row>0</xdr:row>
      <xdr:rowOff>133350</xdr:rowOff>
    </xdr:from>
    <xdr:to>
      <xdr:col>12</xdr:col>
      <xdr:colOff>676658</xdr:colOff>
      <xdr:row>1</xdr:row>
      <xdr:rowOff>114300</xdr:rowOff>
    </xdr:to>
    <xdr:pic>
      <xdr:nvPicPr>
        <xdr:cNvPr id="6" name="Image 5" descr="Institut des sciences analytiques — Wikipédi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33350"/>
          <a:ext cx="1029083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123825</xdr:colOff>
      <xdr:row>3</xdr:row>
      <xdr:rowOff>28575</xdr:rowOff>
    </xdr:from>
    <xdr:to>
      <xdr:col>12</xdr:col>
      <xdr:colOff>684119</xdr:colOff>
      <xdr:row>6</xdr:row>
      <xdr:rowOff>10085</xdr:rowOff>
    </xdr:to>
    <xdr:pic>
      <xdr:nvPicPr>
        <xdr:cNvPr id="5" name="Picture 74" descr="8">
          <a:hlinkClick xmlns:r="http://schemas.openxmlformats.org/officeDocument/2006/relationships" r:id="rId4" tooltip="General Help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952500"/>
          <a:ext cx="560294" cy="59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127590</xdr:colOff>
      <xdr:row>0</xdr:row>
      <xdr:rowOff>38101</xdr:rowOff>
    </xdr:from>
    <xdr:to>
      <xdr:col>11</xdr:col>
      <xdr:colOff>667551</xdr:colOff>
      <xdr:row>2</xdr:row>
      <xdr:rowOff>171451</xdr:rowOff>
    </xdr:to>
    <xdr:pic>
      <xdr:nvPicPr>
        <xdr:cNvPr id="2" name="Picture 22" descr="12">
          <a:hlinkClick xmlns:r="http://schemas.openxmlformats.org/officeDocument/2006/relationships" r:id="rId1" tooltip="Back to HPLC practical calculat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590" y="38101"/>
          <a:ext cx="53996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showRowColHeaders="0" tabSelected="1" zoomScaleNormal="100" workbookViewId="0">
      <selection activeCell="C5" sqref="C5"/>
    </sheetView>
  </sheetViews>
  <sheetFormatPr baseColWidth="10" defaultColWidth="0" defaultRowHeight="15" zeroHeight="1" x14ac:dyDescent="0.25"/>
  <cols>
    <col min="1" max="1" width="2.7109375" style="26" customWidth="1"/>
    <col min="2" max="2" width="19.7109375" style="26" customWidth="1"/>
    <col min="3" max="3" width="18.42578125" style="26" bestFit="1" customWidth="1"/>
    <col min="4" max="4" width="2.85546875" style="26" customWidth="1"/>
    <col min="5" max="5" width="17.140625" style="26" bestFit="1" customWidth="1"/>
    <col min="6" max="6" width="13.42578125" style="26" customWidth="1"/>
    <col min="7" max="7" width="2.5703125" style="26" customWidth="1"/>
    <col min="8" max="8" width="17" style="26" bestFit="1" customWidth="1"/>
    <col min="9" max="9" width="12.7109375" style="26" bestFit="1" customWidth="1"/>
    <col min="10" max="10" width="2.5703125" style="26" customWidth="1"/>
    <col min="11" max="11" width="17.140625" style="26" bestFit="1" customWidth="1"/>
    <col min="12" max="12" width="13.42578125" style="26" customWidth="1"/>
    <col min="13" max="13" width="11.42578125" style="26" customWidth="1"/>
    <col min="14" max="14" width="18.7109375" style="25" hidden="1" customWidth="1"/>
    <col min="15" max="15" width="22.42578125" style="25" hidden="1" customWidth="1"/>
    <col min="16" max="16" width="13.7109375" style="25" hidden="1" customWidth="1"/>
    <col min="17" max="18" width="12.85546875" style="25" hidden="1" customWidth="1"/>
    <col min="19" max="20" width="11.42578125" style="25" hidden="1" customWidth="1"/>
    <col min="21" max="16384" width="11.42578125" style="26" hidden="1"/>
  </cols>
  <sheetData>
    <row r="1" spans="1:20" ht="33.75" customHeight="1" x14ac:dyDescent="0.25">
      <c r="A1" s="74" t="s">
        <v>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20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20" ht="24" thickBot="1" x14ac:dyDescent="0.4">
      <c r="A3" s="71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1:20" ht="15.75" x14ac:dyDescent="0.25">
      <c r="A4" s="27"/>
      <c r="B4" s="82" t="s">
        <v>8</v>
      </c>
      <c r="C4" s="83"/>
      <c r="D4" s="28"/>
      <c r="E4" s="84" t="s">
        <v>9</v>
      </c>
      <c r="F4" s="85"/>
      <c r="G4" s="29"/>
      <c r="H4" s="29"/>
      <c r="I4" s="29"/>
      <c r="J4" s="29"/>
      <c r="K4" s="29"/>
      <c r="L4" s="29"/>
      <c r="M4" s="30"/>
      <c r="N4" s="31"/>
      <c r="O4" s="31" t="s">
        <v>28</v>
      </c>
      <c r="P4" s="31" t="s">
        <v>29</v>
      </c>
      <c r="Q4" s="31" t="s">
        <v>30</v>
      </c>
      <c r="R4" s="31" t="s">
        <v>31</v>
      </c>
      <c r="S4" s="32"/>
      <c r="T4" s="33"/>
    </row>
    <row r="5" spans="1:20" ht="15.75" x14ac:dyDescent="0.25">
      <c r="A5" s="27"/>
      <c r="B5" s="34" t="s">
        <v>7</v>
      </c>
      <c r="C5" s="2">
        <v>50</v>
      </c>
      <c r="D5" s="29"/>
      <c r="E5" s="34" t="s">
        <v>10</v>
      </c>
      <c r="F5" s="7">
        <v>0.05</v>
      </c>
      <c r="G5" s="29"/>
      <c r="H5" s="90"/>
      <c r="I5" s="90"/>
      <c r="J5" s="91"/>
      <c r="K5" s="91"/>
      <c r="L5" s="29"/>
      <c r="M5" s="30"/>
      <c r="N5" s="35" t="s">
        <v>14</v>
      </c>
      <c r="O5" s="36">
        <f>IF(ISBLANK(F9),"",($F$5+(($P$15/100)*(F9-$C$10-$C$11))))</f>
        <v>0.54198615814949658</v>
      </c>
      <c r="P5" s="36">
        <f>IF(ISBLANK(G9),"",($F$5+(($P$15/100)*(G9-$C$10-$C$11))))</f>
        <v>0.18828615814949656</v>
      </c>
      <c r="Q5" s="36">
        <f>IF(ISBLANK(I9),"",($F$5+(($P$15/100)*(I9-$C$10-$C$11))))</f>
        <v>0.26100615814949657</v>
      </c>
      <c r="R5" s="36">
        <f>IF(ISBLANK(K9),"",($F$5+(($P$15/100)*(K9-$C$10-$C$11))))</f>
        <v>0.35442615814949652</v>
      </c>
      <c r="S5" s="37"/>
      <c r="T5" s="38"/>
    </row>
    <row r="6" spans="1:20" ht="16.5" thickBot="1" x14ac:dyDescent="0.3">
      <c r="A6" s="27"/>
      <c r="B6" s="34" t="s">
        <v>16</v>
      </c>
      <c r="C6" s="3">
        <v>2.1</v>
      </c>
      <c r="D6" s="29"/>
      <c r="E6" s="34" t="s">
        <v>11</v>
      </c>
      <c r="F6" s="7">
        <v>0.95</v>
      </c>
      <c r="G6" s="29"/>
      <c r="H6" s="39"/>
      <c r="I6" s="29"/>
      <c r="J6" s="29"/>
      <c r="K6" s="29"/>
      <c r="L6" s="29"/>
      <c r="M6" s="30"/>
      <c r="N6" s="35" t="s">
        <v>15</v>
      </c>
      <c r="O6" s="36">
        <f>IF(ISBLANK(F10),"",($F$5+(($P$16/100)*(F10-$C$10-$C$11))))</f>
        <v>0.48310307907474825</v>
      </c>
      <c r="P6" s="36">
        <f>IF(ISBLANK(G10),"",($F$5+(($P$16/100)*(G10-$C$10-$C$11))))</f>
        <v>0.16801307907474827</v>
      </c>
      <c r="Q6" s="36">
        <f>IF(ISBLANK(I10),"",($F$5+(($P$16/100)*(I10-$C$10-$C$11))))</f>
        <v>0.24361307907474822</v>
      </c>
      <c r="R6" s="36">
        <f>IF(ISBLANK(K10),"",($F$5+(($P$16/100)*(K10-$C$10-$C$11))))</f>
        <v>0.34225307907474822</v>
      </c>
      <c r="S6" s="37"/>
      <c r="T6" s="38"/>
    </row>
    <row r="7" spans="1:20" ht="15.75" x14ac:dyDescent="0.25">
      <c r="A7" s="27"/>
      <c r="B7" s="34" t="s">
        <v>17</v>
      </c>
      <c r="C7" s="4">
        <v>0.62</v>
      </c>
      <c r="D7" s="29"/>
      <c r="E7" s="84" t="s">
        <v>43</v>
      </c>
      <c r="F7" s="87"/>
      <c r="G7" s="87"/>
      <c r="H7" s="87"/>
      <c r="I7" s="87"/>
      <c r="J7" s="87"/>
      <c r="K7" s="85"/>
      <c r="L7" s="29"/>
      <c r="M7" s="30"/>
      <c r="N7" s="35" t="s">
        <v>41</v>
      </c>
      <c r="O7" s="36">
        <f>IF(ISBLANK(F11),"",($F$5+(($P$17/100)*(F11-$C$10-$C$11))))</f>
        <v>0.45177538604983208</v>
      </c>
      <c r="P7" s="36">
        <f>IF(ISBLANK(G11),"",($F$5+(($P$17/100)*(G11-$C$10-$C$11))))</f>
        <v>0.1561553860498322</v>
      </c>
      <c r="Q7" s="36">
        <f>IF(ISBLANK(I11),"",($F$5+(($P$17/100)*(I11-$C$10-$C$11))))</f>
        <v>0.23283538604983217</v>
      </c>
      <c r="R7" s="36">
        <f>IF(ISBLANK(K11),"",($F$5+(($P$17/100)*(K11-$C$10-$C$11))))</f>
        <v>0.33489538604983216</v>
      </c>
      <c r="S7" s="37"/>
      <c r="T7" s="38"/>
    </row>
    <row r="8" spans="1:20" ht="15.75" x14ac:dyDescent="0.25">
      <c r="A8" s="27"/>
      <c r="B8" s="34" t="s">
        <v>18</v>
      </c>
      <c r="C8" s="5">
        <v>0.5</v>
      </c>
      <c r="D8" s="29"/>
      <c r="E8" s="40" t="s">
        <v>27</v>
      </c>
      <c r="F8" s="41" t="s">
        <v>32</v>
      </c>
      <c r="G8" s="86" t="s">
        <v>33</v>
      </c>
      <c r="H8" s="86"/>
      <c r="I8" s="88" t="s">
        <v>34</v>
      </c>
      <c r="J8" s="89"/>
      <c r="K8" s="42" t="s">
        <v>35</v>
      </c>
      <c r="L8" s="29"/>
      <c r="M8" s="30"/>
      <c r="N8" s="35" t="s">
        <v>42</v>
      </c>
      <c r="O8" s="36" t="str">
        <f>IF(ISBLANK(F12),"",($F$5+(($P$18/100)*(F12-$C$10-$C$11))))</f>
        <v/>
      </c>
      <c r="P8" s="36" t="str">
        <f>IF(ISBLANK(G12),"",($F$5+(($P$18/100)*(G12-$C$10-$C$11))))</f>
        <v/>
      </c>
      <c r="Q8" s="36" t="str">
        <f>IF(ISBLANK(I12),"",($F$5+(($P$18/100)*(I12-$C$10-$C$11))))</f>
        <v/>
      </c>
      <c r="R8" s="36" t="str">
        <f>IF(ISBLANK(K12),"",($F$5+(($P$18/100)*(K12-$C$10-$C$11))))</f>
        <v/>
      </c>
      <c r="S8" s="37"/>
      <c r="T8" s="38"/>
    </row>
    <row r="9" spans="1:20" ht="15.75" x14ac:dyDescent="0.25">
      <c r="A9" s="27"/>
      <c r="B9" s="34" t="s">
        <v>19</v>
      </c>
      <c r="C9" s="6">
        <v>0.1</v>
      </c>
      <c r="D9" s="29"/>
      <c r="E9" s="11">
        <v>5</v>
      </c>
      <c r="F9" s="15">
        <v>3.1480000000000001</v>
      </c>
      <c r="G9" s="80">
        <v>1.1830000000000001</v>
      </c>
      <c r="H9" s="80"/>
      <c r="I9" s="80">
        <v>1.587</v>
      </c>
      <c r="J9" s="80"/>
      <c r="K9" s="8">
        <v>2.1059999999999999</v>
      </c>
      <c r="L9" s="29"/>
      <c r="M9" s="30"/>
      <c r="N9" s="35" t="s">
        <v>3</v>
      </c>
      <c r="O9" s="43">
        <f>SLOPE(O5:O8,O15:O18)</f>
        <v>0.1897764642071324</v>
      </c>
      <c r="P9" s="43">
        <f>SLOPE(P5:P8,O15:O18)</f>
        <v>6.734328339801976E-2</v>
      </c>
      <c r="Q9" s="43">
        <f>SLOPE(Q5:Q8,O15:O18)</f>
        <v>5.8907032809398178E-2</v>
      </c>
      <c r="R9" s="43">
        <f>SLOPE(R5:R8,O15:O18)</f>
        <v>4.0881143359364124E-2</v>
      </c>
      <c r="S9" s="37"/>
      <c r="T9" s="38"/>
    </row>
    <row r="10" spans="1:20" ht="15.75" x14ac:dyDescent="0.25">
      <c r="A10" s="27"/>
      <c r="B10" s="44" t="s">
        <v>0</v>
      </c>
      <c r="C10" s="45">
        <f>(PI()*C6*C6/4*C5*C7)/(C8*1000)</f>
        <v>0.2147435658361303</v>
      </c>
      <c r="D10" s="29"/>
      <c r="E10" s="11">
        <v>10</v>
      </c>
      <c r="F10" s="15">
        <v>5.2270000000000003</v>
      </c>
      <c r="G10" s="80">
        <v>1.726</v>
      </c>
      <c r="H10" s="80"/>
      <c r="I10" s="80">
        <v>2.5659999999999998</v>
      </c>
      <c r="J10" s="80"/>
      <c r="K10" s="8">
        <v>3.6619999999999999</v>
      </c>
      <c r="L10" s="29"/>
      <c r="M10" s="30"/>
      <c r="N10" s="35" t="s">
        <v>4</v>
      </c>
      <c r="O10" s="43">
        <f>INTERCEPT(O5:O8,O15:O18)</f>
        <v>0.80963071928962194</v>
      </c>
      <c r="P10" s="43">
        <f>INTERCEPT(P5:P8,O15:O18)</f>
        <v>0.28342904587010204</v>
      </c>
      <c r="Q10" s="43">
        <f>INTERCEPT(Q5:Q8,O15:O18)</f>
        <v>0.34432202284757879</v>
      </c>
      <c r="R10" s="43">
        <f>INTERCEPT(R5:R8,O15:O18)</f>
        <v>0.4122192912155826</v>
      </c>
      <c r="S10" s="37"/>
      <c r="T10" s="38"/>
    </row>
    <row r="11" spans="1:20" ht="16.5" thickBot="1" x14ac:dyDescent="0.3">
      <c r="A11" s="27"/>
      <c r="B11" s="46" t="s">
        <v>20</v>
      </c>
      <c r="C11" s="47">
        <f>C9/C8</f>
        <v>0.2</v>
      </c>
      <c r="D11" s="29"/>
      <c r="E11" s="11">
        <v>15</v>
      </c>
      <c r="F11" s="15">
        <v>7.1109999999999998</v>
      </c>
      <c r="G11" s="80">
        <v>2.1840000000000002</v>
      </c>
      <c r="H11" s="80"/>
      <c r="I11" s="80">
        <v>3.4620000000000002</v>
      </c>
      <c r="J11" s="80"/>
      <c r="K11" s="8">
        <v>5.1630000000000003</v>
      </c>
      <c r="L11" s="29"/>
      <c r="M11" s="30"/>
      <c r="N11" s="35" t="s">
        <v>5</v>
      </c>
      <c r="O11" s="48">
        <f>10^C17</f>
        <v>830.38635217556225</v>
      </c>
      <c r="P11" s="48">
        <f>10^F17</f>
        <v>85.668712339388634</v>
      </c>
      <c r="Q11" s="48">
        <f>10^I17</f>
        <v>2539.9259047862415</v>
      </c>
      <c r="R11" s="48">
        <f>10^L17</f>
        <v>12885389.862860572</v>
      </c>
      <c r="S11" s="37" t="s">
        <v>44</v>
      </c>
      <c r="T11" s="38"/>
    </row>
    <row r="12" spans="1:20" ht="16.5" thickBot="1" x14ac:dyDescent="0.3">
      <c r="A12" s="27"/>
      <c r="B12" s="29"/>
      <c r="C12" s="29"/>
      <c r="D12" s="29"/>
      <c r="E12" s="12"/>
      <c r="F12" s="14"/>
      <c r="G12" s="81"/>
      <c r="H12" s="81"/>
      <c r="I12" s="81"/>
      <c r="J12" s="81"/>
      <c r="K12" s="9"/>
      <c r="L12" s="29"/>
      <c r="M12" s="30"/>
      <c r="N12" s="35" t="s">
        <v>26</v>
      </c>
      <c r="O12" s="49">
        <f>10^C28</f>
        <v>830.38635217556225</v>
      </c>
      <c r="P12" s="49">
        <f>10^F28</f>
        <v>85.668712339388634</v>
      </c>
      <c r="Q12" s="49">
        <f>10^I28</f>
        <v>2539.9259047862415</v>
      </c>
      <c r="R12" s="49">
        <f>10^L28</f>
        <v>12885389.862860572</v>
      </c>
      <c r="S12" s="37" t="s">
        <v>45</v>
      </c>
      <c r="T12" s="38"/>
    </row>
    <row r="13" spans="1:20" ht="15.75" thickBot="1" x14ac:dyDescent="0.3">
      <c r="A13" s="2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50"/>
      <c r="O13" s="37"/>
      <c r="P13" s="37"/>
      <c r="Q13" s="51"/>
      <c r="R13" s="51"/>
      <c r="S13" s="51"/>
      <c r="T13" s="38"/>
    </row>
    <row r="14" spans="1:20" ht="15.75" x14ac:dyDescent="0.25">
      <c r="A14" s="27"/>
      <c r="B14" s="82" t="s">
        <v>21</v>
      </c>
      <c r="C14" s="83"/>
      <c r="D14" s="29"/>
      <c r="E14" s="82" t="s">
        <v>22</v>
      </c>
      <c r="F14" s="83"/>
      <c r="G14" s="29"/>
      <c r="H14" s="82" t="s">
        <v>23</v>
      </c>
      <c r="I14" s="83"/>
      <c r="J14" s="29"/>
      <c r="K14" s="82" t="s">
        <v>24</v>
      </c>
      <c r="L14" s="83"/>
      <c r="M14" s="30"/>
      <c r="N14" s="50"/>
      <c r="O14" s="52" t="s">
        <v>52</v>
      </c>
      <c r="P14" s="52" t="s">
        <v>40</v>
      </c>
      <c r="Q14" s="51"/>
      <c r="R14" s="51"/>
      <c r="S14" s="51"/>
      <c r="T14" s="38"/>
    </row>
    <row r="15" spans="1:20" ht="15.75" x14ac:dyDescent="0.25">
      <c r="A15" s="27"/>
      <c r="B15" s="53" t="s">
        <v>2</v>
      </c>
      <c r="C15" s="54">
        <f>1/O9</f>
        <v>5.2693573156076159</v>
      </c>
      <c r="D15" s="29"/>
      <c r="E15" s="53" t="s">
        <v>2</v>
      </c>
      <c r="F15" s="54">
        <f>1/P9</f>
        <v>14.849290820729498</v>
      </c>
      <c r="G15" s="29"/>
      <c r="H15" s="53" t="s">
        <v>2</v>
      </c>
      <c r="I15" s="54">
        <f>1/Q9</f>
        <v>16.975901726974396</v>
      </c>
      <c r="J15" s="29"/>
      <c r="K15" s="53" t="s">
        <v>2</v>
      </c>
      <c r="L15" s="54">
        <f>1/R9</f>
        <v>24.461155384269425</v>
      </c>
      <c r="M15" s="30"/>
      <c r="N15" s="35" t="s">
        <v>36</v>
      </c>
      <c r="O15" s="43">
        <f>IF(ISBLANK(E9),"",LOG(($P$15*$C$10)/100))</f>
        <v>-1.4128073345644301</v>
      </c>
      <c r="P15" s="55">
        <f>IF(ISBLANK(E9),"",O20/E9*100)</f>
        <v>18</v>
      </c>
      <c r="Q15" s="51"/>
      <c r="R15" s="51" t="s">
        <v>50</v>
      </c>
    </row>
    <row r="16" spans="1:20" ht="19.5" thickBot="1" x14ac:dyDescent="0.3">
      <c r="A16" s="27"/>
      <c r="B16" s="53" t="s">
        <v>54</v>
      </c>
      <c r="C16" s="54">
        <f>(C15*O10)-LOG(2.3*C15)</f>
        <v>3.1827480684914691</v>
      </c>
      <c r="D16" s="29"/>
      <c r="E16" s="53" t="s">
        <v>54</v>
      </c>
      <c r="F16" s="54">
        <f>(F15*P10)-LOG(2.3*F15)</f>
        <v>2.6752867802368332</v>
      </c>
      <c r="G16" s="29"/>
      <c r="H16" s="53" t="s">
        <v>54</v>
      </c>
      <c r="I16" s="54">
        <f>(I15*Q10)-LOG(2.3*I15)</f>
        <v>4.2536161338301399</v>
      </c>
      <c r="J16" s="29"/>
      <c r="K16" s="53" t="s">
        <v>54</v>
      </c>
      <c r="L16" s="54">
        <f>(L15*R10)-LOG(2.3*L15)</f>
        <v>8.3331553323974532</v>
      </c>
      <c r="M16" s="30"/>
      <c r="N16" s="56" t="s">
        <v>37</v>
      </c>
      <c r="O16" s="57">
        <f>IF(ISBLANK(E10),"",LOG(($P$16*$C$10)/100))</f>
        <v>-1.7138373302284113</v>
      </c>
      <c r="P16" s="55">
        <f>IF(ISBLANK(E10),"",O20/E10*100)</f>
        <v>9</v>
      </c>
      <c r="Q16" s="51"/>
      <c r="R16" s="51" t="s">
        <v>48</v>
      </c>
    </row>
    <row r="17" spans="1:20" ht="19.5" thickBot="1" x14ac:dyDescent="0.3">
      <c r="A17" s="27"/>
      <c r="B17" s="58" t="s">
        <v>55</v>
      </c>
      <c r="C17" s="59">
        <f>C16-(C15*$F$5)</f>
        <v>2.9192802027110885</v>
      </c>
      <c r="D17" s="29"/>
      <c r="E17" s="58" t="s">
        <v>55</v>
      </c>
      <c r="F17" s="59">
        <f>F16-(F15*$F$5)</f>
        <v>1.9328222392003582</v>
      </c>
      <c r="G17" s="29"/>
      <c r="H17" s="58" t="s">
        <v>55</v>
      </c>
      <c r="I17" s="59">
        <f>I16-(I15*$F$5)</f>
        <v>3.4048210474814202</v>
      </c>
      <c r="J17" s="29"/>
      <c r="K17" s="58" t="s">
        <v>55</v>
      </c>
      <c r="L17" s="59">
        <f>L16-(L15*$F$5)</f>
        <v>7.1100975631839818</v>
      </c>
      <c r="M17" s="30"/>
      <c r="N17" s="35" t="s">
        <v>38</v>
      </c>
      <c r="O17" s="57">
        <f>IF(ISBLANK(E11),"",LOG(($P$17*$C$10)/100))</f>
        <v>-1.8899285892840927</v>
      </c>
      <c r="P17" s="55">
        <f>IF(ISBLANK(E11),"",O20/E11*100)</f>
        <v>5.9999999999999991</v>
      </c>
      <c r="Q17" s="51"/>
      <c r="R17" s="51" t="s">
        <v>49</v>
      </c>
      <c r="S17" s="51"/>
      <c r="T17" s="38"/>
    </row>
    <row r="18" spans="1:20" ht="16.5" thickBot="1" x14ac:dyDescent="0.3">
      <c r="A18" s="27"/>
      <c r="B18" s="58" t="s">
        <v>59</v>
      </c>
      <c r="C18" s="54">
        <f>($C$10*($F$6-$F$5)*C15)/(MAX($E$9:$E$12))</f>
        <v>6.7893634777096729E-2</v>
      </c>
      <c r="D18" s="29"/>
      <c r="E18" s="58" t="s">
        <v>59</v>
      </c>
      <c r="F18" s="54">
        <f>($C$10*($F$6-$F$5)*F15)/(MAX($E$9:$E$12))</f>
        <v>0.19132737965887023</v>
      </c>
      <c r="G18" s="29"/>
      <c r="H18" s="58" t="s">
        <v>59</v>
      </c>
      <c r="I18" s="54">
        <f>($C$10*($F$6-$F$5)*I15)/(MAX($E$9:$E$12))</f>
        <v>0.21872794020805222</v>
      </c>
      <c r="J18" s="29"/>
      <c r="K18" s="58" t="s">
        <v>59</v>
      </c>
      <c r="L18" s="54">
        <f>($C$10*($F$6-$F$5)*L15)/(MAX($E$9:$E$12))</f>
        <v>0.31517254390138044</v>
      </c>
      <c r="M18" s="30"/>
      <c r="N18" s="56" t="s">
        <v>39</v>
      </c>
      <c r="O18" s="57" t="str">
        <f>IF(ISBLANK(E12),"",LOG(($P$18*$C$10)/100))</f>
        <v/>
      </c>
      <c r="P18" s="55" t="str">
        <f>IF(ISBLANK(E12),"",O20/E12*100)</f>
        <v/>
      </c>
      <c r="Q18" s="37"/>
      <c r="R18" s="37"/>
      <c r="S18" s="37"/>
      <c r="T18" s="38"/>
    </row>
    <row r="19" spans="1:20" ht="15.75" x14ac:dyDescent="0.25">
      <c r="B19" s="58" t="s">
        <v>60</v>
      </c>
      <c r="C19" s="54">
        <f>($C$10*($F$6-$F$5)*C15)/(MIN($E$9:$E$12))</f>
        <v>0.20368090433129021</v>
      </c>
      <c r="E19" s="58" t="s">
        <v>60</v>
      </c>
      <c r="F19" s="54">
        <f>($C$10*($F$6-$F$5)*F15)/(MIN($E$9:$E$12))</f>
        <v>0.57398213897661066</v>
      </c>
      <c r="H19" s="58" t="s">
        <v>60</v>
      </c>
      <c r="I19" s="54">
        <f>($C$10*($F$6-$F$5)*I15)/(MIN($E$9:$E$12))</f>
        <v>0.6561838206241567</v>
      </c>
      <c r="K19" s="58" t="s">
        <v>60</v>
      </c>
      <c r="L19" s="54">
        <f>($C$10*($F$6-$F$5)*L15)/(MIN($E$9:$E$12))</f>
        <v>0.94551763170414138</v>
      </c>
      <c r="N19" s="50"/>
      <c r="O19" s="37"/>
      <c r="P19" s="37"/>
      <c r="Q19" s="37"/>
      <c r="R19" s="37"/>
      <c r="S19" s="37"/>
      <c r="T19" s="38"/>
    </row>
    <row r="20" spans="1:20" x14ac:dyDescent="0.25">
      <c r="N20" s="35" t="s">
        <v>13</v>
      </c>
      <c r="O20" s="60">
        <f>F6-F5</f>
        <v>0.89999999999999991</v>
      </c>
      <c r="P20" s="37" t="s">
        <v>44</v>
      </c>
      <c r="Q20" s="37"/>
      <c r="R20" s="61" t="s">
        <v>51</v>
      </c>
      <c r="S20" s="61" t="e">
        <f>IF(#REF!="&lt; 1000 Da",4,IF(#REF!="1000 - 10000 Da",10,30))</f>
        <v>#REF!</v>
      </c>
      <c r="T20" s="38"/>
    </row>
    <row r="21" spans="1:20" ht="24" thickBot="1" x14ac:dyDescent="0.4">
      <c r="A21" s="71" t="s">
        <v>47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35" t="s">
        <v>13</v>
      </c>
      <c r="O21" s="60">
        <f>C24-C23</f>
        <v>0.75</v>
      </c>
      <c r="P21" s="37" t="s">
        <v>45</v>
      </c>
      <c r="Q21" s="37"/>
      <c r="R21" s="37"/>
      <c r="S21" s="37"/>
      <c r="T21" s="38"/>
    </row>
    <row r="22" spans="1:20" ht="16.5" thickBot="1" x14ac:dyDescent="0.3">
      <c r="A22" s="27"/>
      <c r="B22" s="92" t="s">
        <v>9</v>
      </c>
      <c r="C22" s="93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62"/>
      <c r="O22" s="62"/>
      <c r="P22" s="62"/>
      <c r="Q22" s="62"/>
      <c r="R22" s="62"/>
      <c r="S22" s="62"/>
      <c r="T22" s="63"/>
    </row>
    <row r="23" spans="1:20" ht="15.75" x14ac:dyDescent="0.25">
      <c r="A23" s="27"/>
      <c r="B23" s="34" t="s">
        <v>10</v>
      </c>
      <c r="C23" s="7">
        <v>0.05</v>
      </c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spans="1:20" ht="15.75" x14ac:dyDescent="0.25">
      <c r="A24" s="27"/>
      <c r="B24" s="34" t="s">
        <v>11</v>
      </c>
      <c r="C24" s="7">
        <v>0.8</v>
      </c>
      <c r="D24" s="29"/>
      <c r="E24" s="29"/>
      <c r="F24" s="29"/>
      <c r="G24" s="29"/>
      <c r="H24" s="29"/>
      <c r="I24" s="29"/>
      <c r="J24" s="29"/>
      <c r="K24" s="29"/>
      <c r="L24" s="29"/>
      <c r="M24" s="30"/>
    </row>
    <row r="25" spans="1:20" ht="15.75" x14ac:dyDescent="0.25">
      <c r="A25" s="27"/>
      <c r="B25" s="34" t="s">
        <v>25</v>
      </c>
      <c r="C25" s="10">
        <v>2</v>
      </c>
      <c r="D25" s="29"/>
      <c r="E25" s="29"/>
      <c r="F25" s="29"/>
      <c r="G25" s="29"/>
      <c r="H25" s="29"/>
      <c r="I25" s="29"/>
      <c r="J25" s="29"/>
      <c r="K25" s="29"/>
      <c r="L25" s="29"/>
      <c r="M25" s="30"/>
    </row>
    <row r="26" spans="1:20" ht="16.5" thickBot="1" x14ac:dyDescent="0.3">
      <c r="A26" s="27"/>
      <c r="B26" s="64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1:20" ht="15.75" x14ac:dyDescent="0.25">
      <c r="A27" s="27"/>
      <c r="B27" s="92" t="s">
        <v>28</v>
      </c>
      <c r="C27" s="93"/>
      <c r="D27" s="29"/>
      <c r="E27" s="92" t="s">
        <v>29</v>
      </c>
      <c r="F27" s="93"/>
      <c r="G27" s="29"/>
      <c r="H27" s="92" t="s">
        <v>30</v>
      </c>
      <c r="I27" s="93"/>
      <c r="J27" s="29"/>
      <c r="K27" s="92" t="s">
        <v>31</v>
      </c>
      <c r="L27" s="93"/>
      <c r="M27" s="30"/>
    </row>
    <row r="28" spans="1:20" ht="18.75" x14ac:dyDescent="0.25">
      <c r="A28" s="27"/>
      <c r="B28" s="53" t="s">
        <v>56</v>
      </c>
      <c r="C28" s="54">
        <f>C16-(C15*$C$23)</f>
        <v>2.9192802027110885</v>
      </c>
      <c r="D28" s="29"/>
      <c r="E28" s="53" t="s">
        <v>56</v>
      </c>
      <c r="F28" s="54">
        <f>F16-(F15*$C$23)</f>
        <v>1.9328222392003582</v>
      </c>
      <c r="G28" s="29"/>
      <c r="H28" s="53" t="s">
        <v>56</v>
      </c>
      <c r="I28" s="54">
        <f>I16-(I15*$C$23)</f>
        <v>3.4048210474814202</v>
      </c>
      <c r="J28" s="29"/>
      <c r="K28" s="53" t="s">
        <v>56</v>
      </c>
      <c r="L28" s="54">
        <f>L16-(L15*$C$23)</f>
        <v>7.1100975631839818</v>
      </c>
      <c r="M28" s="30"/>
    </row>
    <row r="29" spans="1:20" ht="15.75" x14ac:dyDescent="0.25">
      <c r="A29" s="27"/>
      <c r="B29" s="53" t="s">
        <v>1</v>
      </c>
      <c r="C29" s="65">
        <f>$C$10+$C$11+$C$25/C15/($C$24-$C$23)*LOG(2.303*10^C28*(C31*(1-$C$11/$C$10/10^C28))+1)</f>
        <v>1.887070519395704</v>
      </c>
      <c r="D29" s="29"/>
      <c r="E29" s="53" t="s">
        <v>1</v>
      </c>
      <c r="F29" s="65">
        <f>$C$10+$C$11+$C$25/F15/($C$24-$C$23)*LOG(2.303*10^F28*(F31*(1-$C$11/$C$10/10^F28))+1)</f>
        <v>0.84033212896907339</v>
      </c>
      <c r="G29" s="29"/>
      <c r="H29" s="53" t="s">
        <v>1</v>
      </c>
      <c r="I29" s="65">
        <f>$C$10+$C$11+$C$25/I15/($C$24-$C$23)*LOG(2.303*10^I28*(I31*(1-$C$11/$C$10/10^I28))+1)</f>
        <v>1.0278156533983409</v>
      </c>
      <c r="J29" s="29"/>
      <c r="K29" s="53" t="s">
        <v>1</v>
      </c>
      <c r="L29" s="65">
        <f>$C$10+$C$11+$C$25/L15/($C$24-$C$23)*LOG(2.303*10^L28*(L31*(1-$C$11/$C$10/10^L28))+1)</f>
        <v>1.2614541701542286</v>
      </c>
      <c r="M29" s="30"/>
    </row>
    <row r="30" spans="1:20" ht="15.75" x14ac:dyDescent="0.25">
      <c r="A30" s="27"/>
      <c r="B30" s="53" t="s">
        <v>6</v>
      </c>
      <c r="C30" s="66">
        <f>C23+(O21/C25)*(C29-$C$10-$C$11)</f>
        <v>0.60212260758484026</v>
      </c>
      <c r="D30" s="29"/>
      <c r="E30" s="53" t="s">
        <v>6</v>
      </c>
      <c r="F30" s="66">
        <f>C23+(O21/C25)*(F29-$C$10-$C$11)</f>
        <v>0.20959571117485365</v>
      </c>
      <c r="G30" s="29"/>
      <c r="H30" s="53" t="s">
        <v>6</v>
      </c>
      <c r="I30" s="66">
        <f>C23+(O21/C25)*(I29-$C$10-$C$11)</f>
        <v>0.27990203283582898</v>
      </c>
      <c r="J30" s="29"/>
      <c r="K30" s="53" t="s">
        <v>6</v>
      </c>
      <c r="L30" s="66">
        <f>C23+(O21/C25)*(L29-$C$10-$C$11)</f>
        <v>0.36751647661928682</v>
      </c>
      <c r="M30" s="30"/>
    </row>
    <row r="31" spans="1:20" ht="16.5" thickBot="1" x14ac:dyDescent="0.3">
      <c r="A31" s="27"/>
      <c r="B31" s="67" t="s">
        <v>57</v>
      </c>
      <c r="C31" s="68">
        <f>($C$10*($C$24-$C$23)*C15)/$C$25</f>
        <v>0.42433521735685459</v>
      </c>
      <c r="D31" s="29"/>
      <c r="E31" s="67" t="s">
        <v>57</v>
      </c>
      <c r="F31" s="68">
        <f>($C$10*($C$24-$C$23)*F15)/$C$25</f>
        <v>1.1957961228679388</v>
      </c>
      <c r="G31" s="29"/>
      <c r="H31" s="67" t="s">
        <v>57</v>
      </c>
      <c r="I31" s="68">
        <f>($C$10*($C$24-$C$23)*I15)/$C$25</f>
        <v>1.3670496263003267</v>
      </c>
      <c r="J31" s="29"/>
      <c r="K31" s="67" t="s">
        <v>57</v>
      </c>
      <c r="L31" s="68">
        <f>($C$10*($C$24-$C$23)*L15)/$C$25</f>
        <v>1.9698283993836279</v>
      </c>
      <c r="M31" s="30"/>
    </row>
    <row r="32" spans="1:20" ht="15" hidden="1" customHeight="1" x14ac:dyDescent="0.25"/>
    <row r="33" spans="1:13" ht="15" hidden="1" customHeight="1" x14ac:dyDescent="0.25"/>
    <row r="34" spans="1:13" x14ac:dyDescent="0.25"/>
    <row r="35" spans="1:13" ht="16.5" thickBot="1" x14ac:dyDescent="0.3">
      <c r="A35" s="13" t="s">
        <v>53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</row>
    <row r="36" spans="1:13" x14ac:dyDescent="0.25"/>
  </sheetData>
  <sheetProtection algorithmName="SHA-512" hashValue="egwry/czY09SXzMD9BolCcyAGXkRYR6Uwa4rZaBUeoAK9CeTXWGzqtjic0HwBlNx6vbiBwYCaE4UJSCtuEnTew==" saltValue="Y05kHokEMUsyUDl5dnAKmA==" spinCount="100000" sheet="1" selectLockedCells="1"/>
  <mergeCells count="27">
    <mergeCell ref="B27:C27"/>
    <mergeCell ref="E27:F27"/>
    <mergeCell ref="H27:I27"/>
    <mergeCell ref="K27:L27"/>
    <mergeCell ref="B22:C22"/>
    <mergeCell ref="I8:J8"/>
    <mergeCell ref="G12:H12"/>
    <mergeCell ref="I9:J9"/>
    <mergeCell ref="I10:J10"/>
    <mergeCell ref="H5:I5"/>
    <mergeCell ref="J5:K5"/>
    <mergeCell ref="A3:M3"/>
    <mergeCell ref="A21:M21"/>
    <mergeCell ref="A1:M2"/>
    <mergeCell ref="I11:J11"/>
    <mergeCell ref="I12:J12"/>
    <mergeCell ref="K14:L14"/>
    <mergeCell ref="B4:C4"/>
    <mergeCell ref="E4:F4"/>
    <mergeCell ref="B14:C14"/>
    <mergeCell ref="E14:F14"/>
    <mergeCell ref="H14:I14"/>
    <mergeCell ref="G8:H8"/>
    <mergeCell ref="G9:H9"/>
    <mergeCell ref="G10:H10"/>
    <mergeCell ref="G11:H11"/>
    <mergeCell ref="E7:K7"/>
  </mergeCells>
  <conditionalFormatting sqref="F17">
    <cfRule type="expression" dxfId="19" priority="22">
      <formula>$C$17&lt;2.1</formula>
    </cfRule>
  </conditionalFormatting>
  <conditionalFormatting sqref="I17">
    <cfRule type="expression" dxfId="18" priority="21">
      <formula>$C$17&lt;2.1</formula>
    </cfRule>
  </conditionalFormatting>
  <conditionalFormatting sqref="L17">
    <cfRule type="expression" dxfId="17" priority="20">
      <formula>$C$17&lt;2.1</formula>
    </cfRule>
  </conditionalFormatting>
  <conditionalFormatting sqref="C17 F17 I17 L17">
    <cfRule type="cellIs" dxfId="16" priority="19" operator="lessThan">
      <formula>2.1</formula>
    </cfRule>
  </conditionalFormatting>
  <conditionalFormatting sqref="C18 F18 I18 L18">
    <cfRule type="cellIs" dxfId="15" priority="18" operator="lessThan">
      <formula>0.1</formula>
    </cfRule>
  </conditionalFormatting>
  <conditionalFormatting sqref="C19 F19 I19 L19">
    <cfRule type="cellIs" dxfId="14" priority="17" operator="greaterThan">
      <formula>0.5</formula>
    </cfRule>
  </conditionalFormatting>
  <conditionalFormatting sqref="C31">
    <cfRule type="expression" dxfId="13" priority="14">
      <formula>$C$31&lt;$C$18</formula>
    </cfRule>
    <cfRule type="expression" dxfId="12" priority="13">
      <formula>$C$31&gt;$C$19</formula>
    </cfRule>
  </conditionalFormatting>
  <conditionalFormatting sqref="F31">
    <cfRule type="expression" dxfId="11" priority="11">
      <formula>$C$31&gt;$C$19</formula>
    </cfRule>
    <cfRule type="expression" dxfId="10" priority="12">
      <formula>$C$31&lt;$C$18</formula>
    </cfRule>
    <cfRule type="expression" dxfId="9" priority="6">
      <formula>$F$31&lt;$F$18</formula>
    </cfRule>
    <cfRule type="expression" dxfId="8" priority="5">
      <formula>$F$31&gt;$F$19</formula>
    </cfRule>
    <cfRule type="expression" dxfId="7" priority="4">
      <formula>$I$31&lt;$I$18</formula>
    </cfRule>
    <cfRule type="expression" dxfId="6" priority="3">
      <formula>$I$31&gt;$I$19</formula>
    </cfRule>
    <cfRule type="expression" dxfId="5" priority="2">
      <formula>$L$31&lt;$L$18</formula>
    </cfRule>
    <cfRule type="expression" dxfId="4" priority="1">
      <formula>$L$31&gt;$L$19</formula>
    </cfRule>
  </conditionalFormatting>
  <conditionalFormatting sqref="I31">
    <cfRule type="expression" dxfId="3" priority="9">
      <formula>$C$31&gt;$C$19</formula>
    </cfRule>
    <cfRule type="expression" dxfId="2" priority="10">
      <formula>$C$31&lt;$C$18</formula>
    </cfRule>
  </conditionalFormatting>
  <conditionalFormatting sqref="L31">
    <cfRule type="expression" dxfId="1" priority="7">
      <formula>$C$31&gt;$C$19</formula>
    </cfRule>
    <cfRule type="expression" dxfId="0" priority="8">
      <formula>$C$31&lt;$C$18</formula>
    </cfRule>
  </conditionalFormatting>
  <pageMargins left="0.25" right="0.25" top="0.75" bottom="0.75" header="0.3" footer="0.3"/>
  <pageSetup paperSize="9" scale="8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1"/>
  </cols>
  <sheetData>
    <row r="1" spans="1:12" x14ac:dyDescent="0.25">
      <c r="A1" s="96" t="s">
        <v>58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16.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35">
      <c r="A5" s="94" t="s">
        <v>46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x14ac:dyDescent="0.25">
      <c r="A6" s="19" t="s">
        <v>65</v>
      </c>
      <c r="B6" s="20"/>
      <c r="C6" s="20"/>
      <c r="D6" s="20"/>
      <c r="E6" s="20"/>
      <c r="F6" s="17"/>
      <c r="G6" s="17"/>
      <c r="H6" s="17"/>
      <c r="I6" s="17"/>
      <c r="J6" s="17"/>
      <c r="K6" s="17"/>
      <c r="L6" s="17"/>
    </row>
    <row r="7" spans="1:12" x14ac:dyDescent="0.25">
      <c r="B7" s="18" t="s">
        <v>62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25">
      <c r="B8" s="18" t="s">
        <v>61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25">
      <c r="B9" s="18" t="s">
        <v>63</v>
      </c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x14ac:dyDescent="0.25">
      <c r="B10" s="18" t="s">
        <v>64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25">
      <c r="B11" s="17" t="s">
        <v>68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25">
      <c r="A13" s="21" t="s">
        <v>73</v>
      </c>
      <c r="B13" s="22"/>
      <c r="C13" s="23"/>
      <c r="D13" s="23"/>
      <c r="E13" s="23"/>
      <c r="F13" s="23"/>
      <c r="G13" s="23"/>
      <c r="H13" s="23"/>
      <c r="I13" s="17"/>
      <c r="J13" s="17"/>
      <c r="K13" s="17"/>
      <c r="L13" s="17"/>
    </row>
    <row r="14" spans="1:12" x14ac:dyDescent="0.25">
      <c r="B14" s="17" t="s">
        <v>66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25">
      <c r="B15" s="17" t="s">
        <v>67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25">
      <c r="B16" s="17" t="s">
        <v>69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x14ac:dyDescent="0.25">
      <c r="B17" s="17" t="s">
        <v>70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B18" s="17" t="s">
        <v>71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x14ac:dyDescent="0.25">
      <c r="B19" s="17" t="s">
        <v>72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23.25" x14ac:dyDescent="0.35">
      <c r="A21" s="94" t="s">
        <v>47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1:12" x14ac:dyDescent="0.25">
      <c r="A22" s="19" t="s">
        <v>65</v>
      </c>
      <c r="B22" s="20"/>
      <c r="C22" s="20"/>
      <c r="D22" s="20"/>
      <c r="E22" s="20"/>
      <c r="F22" s="17"/>
      <c r="G22" s="17"/>
      <c r="H22" s="17"/>
      <c r="I22" s="17"/>
      <c r="J22" s="17"/>
      <c r="K22" s="17"/>
      <c r="L22" s="17"/>
    </row>
    <row r="23" spans="1:12" x14ac:dyDescent="0.25">
      <c r="B23" s="18" t="s">
        <v>74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5">
      <c r="A25" s="21" t="s">
        <v>73</v>
      </c>
      <c r="B25" s="22"/>
      <c r="C25" s="23"/>
      <c r="D25" s="23"/>
      <c r="E25" s="23"/>
      <c r="F25" s="23"/>
      <c r="G25" s="23"/>
      <c r="H25" s="23"/>
      <c r="I25" s="17"/>
      <c r="J25" s="17"/>
      <c r="K25" s="17"/>
      <c r="L25" s="17"/>
    </row>
    <row r="26" spans="1:12" x14ac:dyDescent="0.25">
      <c r="B26" s="17" t="s">
        <v>76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5">
      <c r="B27" s="17" t="s">
        <v>75</v>
      </c>
      <c r="C27" s="17"/>
      <c r="D27" s="17"/>
      <c r="E27" s="17"/>
      <c r="F27" s="17"/>
      <c r="G27" s="17"/>
      <c r="H27" s="17"/>
    </row>
    <row r="28" spans="1:12" x14ac:dyDescent="0.25">
      <c r="B28" s="17" t="s">
        <v>77</v>
      </c>
    </row>
    <row r="29" spans="1:12" x14ac:dyDescent="0.25">
      <c r="B29" s="17" t="s">
        <v>78</v>
      </c>
    </row>
  </sheetData>
  <sheetProtection algorithmName="SHA-512" hashValue="eg6xsYT35xYh7YqU9vgjASrNy7R1q/8K2+xQvde7UEyWWFP9NsQmuLZiOhvS6zBp7LPSwvPiFroPI7cOB3Guwg==" saltValue="14ePjNYUW6jqYicEVvgbPg==" spinCount="100000" sheet="1" objects="1" scenarios="1" selectLockedCells="1"/>
  <mergeCells count="3">
    <mergeCell ref="A5:L5"/>
    <mergeCell ref="A21:L21"/>
    <mergeCell ref="A1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LSS parameters</vt:lpstr>
      <vt:lpstr>Explanations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Szabolcs Fekete</dc:creator>
  <cp:lastModifiedBy>Davy GUILLARME</cp:lastModifiedBy>
  <cp:lastPrinted>2022-02-21T13:56:38Z</cp:lastPrinted>
  <dcterms:created xsi:type="dcterms:W3CDTF">2015-06-05T18:17:20Z</dcterms:created>
  <dcterms:modified xsi:type="dcterms:W3CDTF">2022-02-23T13:59:27Z</dcterms:modified>
</cp:coreProperties>
</file>