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ranceyc\Desktop\"/>
    </mc:Choice>
  </mc:AlternateContent>
  <bookViews>
    <workbookView showHorizontalScroll="0" showVerticalScroll="0" showSheetTabs="0" xWindow="0" yWindow="465" windowWidth="28800" windowHeight="16125" tabRatio="500"/>
  </bookViews>
  <sheets>
    <sheet name="Injection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8" i="1" l="1"/>
  <c r="T7" i="1"/>
  <c r="T17" i="1"/>
  <c r="O15" i="1"/>
  <c r="T6" i="1"/>
  <c r="O8" i="1"/>
  <c r="T8" i="1"/>
  <c r="I8" i="1"/>
  <c r="W7" i="1"/>
  <c r="W8" i="1"/>
  <c r="X13" i="1"/>
  <c r="X14" i="1"/>
  <c r="O14" i="1"/>
  <c r="G13" i="1"/>
  <c r="I13" i="1"/>
  <c r="T19" i="1"/>
  <c r="I11" i="1"/>
  <c r="G11" i="1"/>
  <c r="T10" i="1"/>
  <c r="O7" i="1"/>
  <c r="T9" i="1"/>
  <c r="O6" i="1"/>
  <c r="O9" i="1"/>
  <c r="T12" i="1"/>
  <c r="O10" i="1"/>
  <c r="W17" i="1"/>
  <c r="W18" i="1"/>
  <c r="W19" i="1"/>
  <c r="O12" i="1"/>
  <c r="O11" i="1"/>
  <c r="O13" i="1"/>
  <c r="W12" i="1"/>
  <c r="W14" i="1"/>
  <c r="W13" i="1"/>
  <c r="W11" i="1"/>
  <c r="W9" i="1"/>
  <c r="W10" i="1"/>
  <c r="B1" i="1"/>
</calcChain>
</file>

<file path=xl/sharedStrings.xml><?xml version="1.0" encoding="utf-8"?>
<sst xmlns="http://schemas.openxmlformats.org/spreadsheetml/2006/main" count="86" uniqueCount="70">
  <si>
    <t>µm</t>
  </si>
  <si>
    <t>nL</t>
  </si>
  <si>
    <t>ID (m)</t>
  </si>
  <si>
    <t>cm</t>
  </si>
  <si>
    <t>Ltot (m)</t>
  </si>
  <si>
    <t>Leff (m)</t>
  </si>
  <si>
    <t>mbar</t>
  </si>
  <si>
    <t>%</t>
  </si>
  <si>
    <t>Vtot (m3)</t>
  </si>
  <si>
    <t>s</t>
  </si>
  <si>
    <t>mm</t>
  </si>
  <si>
    <t>min</t>
  </si>
  <si>
    <t>Vinj (L)</t>
  </si>
  <si>
    <t>ID =</t>
  </si>
  <si>
    <t>Press inj =</t>
  </si>
  <si>
    <t>t inj =</t>
  </si>
  <si>
    <r>
      <t>L</t>
    </r>
    <r>
      <rPr>
        <vertAlign val="subscript"/>
        <sz val="14"/>
        <rFont val="Arial"/>
        <family val="2"/>
      </rPr>
      <t>tot</t>
    </r>
    <r>
      <rPr>
        <sz val="14"/>
        <rFont val="Arial"/>
        <family val="2"/>
      </rPr>
      <t xml:space="preserve"> =</t>
    </r>
  </si>
  <si>
    <r>
      <t>L</t>
    </r>
    <r>
      <rPr>
        <vertAlign val="subscript"/>
        <sz val="14"/>
        <rFont val="Arial"/>
        <family val="2"/>
      </rPr>
      <t>eff</t>
    </r>
    <r>
      <rPr>
        <sz val="14"/>
        <rFont val="Arial"/>
        <family val="2"/>
      </rPr>
      <t xml:space="preserve"> =</t>
    </r>
  </si>
  <si>
    <r>
      <t>V</t>
    </r>
    <r>
      <rPr>
        <vertAlign val="subscript"/>
        <sz val="14"/>
        <color theme="1"/>
        <rFont val="Arial"/>
        <family val="2"/>
      </rPr>
      <t xml:space="preserve">tot </t>
    </r>
    <r>
      <rPr>
        <sz val="14"/>
        <color theme="1"/>
        <rFont val="Arial"/>
        <family val="2"/>
      </rPr>
      <t>=</t>
    </r>
  </si>
  <si>
    <r>
      <t>V</t>
    </r>
    <r>
      <rPr>
        <vertAlign val="subscript"/>
        <sz val="14"/>
        <color theme="1"/>
        <rFont val="Arial"/>
        <family val="2"/>
      </rPr>
      <t xml:space="preserve">eff </t>
    </r>
    <r>
      <rPr>
        <sz val="14"/>
        <color theme="1"/>
        <rFont val="Arial"/>
        <family val="2"/>
      </rPr>
      <t>=</t>
    </r>
  </si>
  <si>
    <r>
      <t>V</t>
    </r>
    <r>
      <rPr>
        <vertAlign val="subscript"/>
        <sz val="14"/>
        <color theme="1"/>
        <rFont val="Arial"/>
        <family val="2"/>
      </rPr>
      <t xml:space="preserve">inj </t>
    </r>
    <r>
      <rPr>
        <sz val="14"/>
        <color theme="1"/>
        <rFont val="Arial"/>
        <family val="2"/>
      </rPr>
      <t>=</t>
    </r>
  </si>
  <si>
    <r>
      <t>V</t>
    </r>
    <r>
      <rPr>
        <vertAlign val="subscript"/>
        <sz val="14"/>
        <color theme="1"/>
        <rFont val="Arial"/>
        <family val="2"/>
      </rPr>
      <t>inj</t>
    </r>
    <r>
      <rPr>
        <sz val="14"/>
        <color theme="1"/>
        <rFont val="Arial"/>
        <family val="2"/>
      </rPr>
      <t>/V</t>
    </r>
    <r>
      <rPr>
        <vertAlign val="subscript"/>
        <sz val="14"/>
        <color theme="1"/>
        <rFont val="Arial"/>
        <family val="2"/>
      </rPr>
      <t xml:space="preserve">eff </t>
    </r>
    <r>
      <rPr>
        <sz val="14"/>
        <color theme="1"/>
        <rFont val="Arial"/>
        <family val="2"/>
      </rPr>
      <t>=</t>
    </r>
  </si>
  <si>
    <r>
      <t>V</t>
    </r>
    <r>
      <rPr>
        <vertAlign val="subscript"/>
        <sz val="14"/>
        <color theme="1"/>
        <rFont val="Arial"/>
        <family val="2"/>
      </rPr>
      <t>inj</t>
    </r>
    <r>
      <rPr>
        <sz val="14"/>
        <color theme="1"/>
        <rFont val="Arial"/>
        <family val="2"/>
      </rPr>
      <t>/V</t>
    </r>
    <r>
      <rPr>
        <vertAlign val="subscript"/>
        <sz val="14"/>
        <color theme="1"/>
        <rFont val="Arial"/>
        <family val="2"/>
      </rPr>
      <t xml:space="preserve">tot </t>
    </r>
    <r>
      <rPr>
        <sz val="14"/>
        <color theme="1"/>
        <rFont val="Arial"/>
        <family val="2"/>
      </rPr>
      <t>=</t>
    </r>
  </si>
  <si>
    <r>
      <t>Time to replace V</t>
    </r>
    <r>
      <rPr>
        <vertAlign val="subscript"/>
        <sz val="14"/>
        <color theme="1"/>
        <rFont val="Arial"/>
        <family val="2"/>
      </rPr>
      <t>tot</t>
    </r>
    <r>
      <rPr>
        <sz val="14"/>
        <color theme="1"/>
        <rFont val="Arial"/>
        <family val="2"/>
      </rPr>
      <t xml:space="preserve"> =</t>
    </r>
  </si>
  <si>
    <t>Experimental conditions:</t>
  </si>
  <si>
    <t>Calculated parameters:</t>
  </si>
  <si>
    <t xml:space="preserve">MW = </t>
  </si>
  <si>
    <t>M</t>
  </si>
  <si>
    <t>pg</t>
  </si>
  <si>
    <t>mol</t>
  </si>
  <si>
    <r>
      <t>g·mol</t>
    </r>
    <r>
      <rPr>
        <vertAlign val="superscript"/>
        <sz val="14"/>
        <rFont val="Arial"/>
        <family val="2"/>
      </rPr>
      <t>-1</t>
    </r>
  </si>
  <si>
    <t xml:space="preserve">Injection speed = </t>
  </si>
  <si>
    <t>ng</t>
  </si>
  <si>
    <t>nM</t>
  </si>
  <si>
    <t>μM</t>
  </si>
  <si>
    <t>μg/mL</t>
  </si>
  <si>
    <t>μmol</t>
  </si>
  <si>
    <t>nmol</t>
  </si>
  <si>
    <t>auxiliar</t>
  </si>
  <si>
    <t>mM</t>
  </si>
  <si>
    <t>mmol</t>
  </si>
  <si>
    <t>nL/s</t>
  </si>
  <si>
    <t>nL/min</t>
  </si>
  <si>
    <t>pmol</t>
  </si>
  <si>
    <t>Viscosidad agua</t>
  </si>
  <si>
    <t>Aqueous</t>
  </si>
  <si>
    <t>Water:MeOH</t>
  </si>
  <si>
    <t>Water:MeCN</t>
  </si>
  <si>
    <t>Viscosidad H2O:MeCN</t>
  </si>
  <si>
    <t>Viscosidad H2O:MeOH</t>
  </si>
  <si>
    <t>User defined</t>
  </si>
  <si>
    <t>mPa·s</t>
  </si>
  <si>
    <t>Inj. plug length =</t>
  </si>
  <si>
    <t>ng/mL</t>
  </si>
  <si>
    <t>Cantidades de salida</t>
  </si>
  <si>
    <t>%inj</t>
  </si>
  <si>
    <t>%eff-inj</t>
  </si>
  <si>
    <t>%tot-(eff-inj)-inj</t>
  </si>
  <si>
    <t>BGE type =</t>
  </si>
  <si>
    <t>BGE η  =</t>
  </si>
  <si>
    <t xml:space="preserve">    Developed by Víctor González-Ruiz at LCAP, Université de Genève - 2015</t>
  </si>
  <si>
    <t xml:space="preserve">    With the contribution of Nicolas Drouin, Emilie Reginato, Serge Rudaz and Julie Schappler</t>
  </si>
  <si>
    <t>psi</t>
  </si>
  <si>
    <t>inches</t>
  </si>
  <si>
    <t>Developed by Víctor González-Ruiz at LCAP, Université de Genève - 2015</t>
  </si>
  <si>
    <t>With the contribution of Nicolas Drouin, Emilie Reginato, Serge Rudaz and Julie Schappler</t>
  </si>
  <si>
    <r>
      <t>Veff (m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</si>
  <si>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 xml:space="preserve">Analyte conc. = </t>
  </si>
  <si>
    <t xml:space="preserve">Injected analyte = </t>
  </si>
  <si>
    <t>v 1.0 rev. b -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</si>
</sst>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E+00"/>
    <numFmt numFmtId="165" formatCode="0.00.E+00"/>
    <numFmt numFmtId="166" formatCode="0.0"/>
    <numFmt numFmtId="167" formatCode="0.0000"/>
    <numFmt numFmtId="168" formatCode="0.0000E+00"/>
    <numFmt numFmtId="169" formatCode="0.0E+00"/>
  </numFmts>
  <fonts count="3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vertAlign val="subscript"/>
      <sz val="14"/>
      <name val="Arial"/>
      <family val="2"/>
    </font>
    <font>
      <vertAlign val="subscript"/>
      <sz val="14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0" tint="-0.34998626667073579"/>
      <name val="Arial"/>
      <family val="2"/>
    </font>
    <font>
      <sz val="24"/>
      <color theme="1"/>
      <name val="Arial"/>
      <family val="2"/>
    </font>
    <font>
      <vertAlign val="superscript"/>
      <sz val="14"/>
      <name val="Arial"/>
      <family val="2"/>
    </font>
    <font>
      <sz val="8"/>
      <color theme="0" tint="-0.34998626667073579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9"/>
      <color theme="0" tint="-0.34998626667073579"/>
      <name val="Arial"/>
      <charset val="161"/>
    </font>
    <font>
      <sz val="8"/>
      <color theme="0"/>
      <name val="Arial"/>
      <family val="2"/>
    </font>
    <font>
      <sz val="10"/>
      <color theme="0" tint="-0.34998626667073579"/>
      <name val="Arial"/>
      <family val="2"/>
    </font>
    <font>
      <sz val="12"/>
      <color theme="0"/>
      <name val="Calibri (Cuerpo)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Symbol"/>
      <family val="1"/>
      <charset val="2"/>
    </font>
    <font>
      <sz val="72"/>
      <color theme="0"/>
      <name val="Calibri"/>
      <family val="2"/>
      <scheme val="minor"/>
    </font>
    <font>
      <b/>
      <sz val="18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Protection="1"/>
    <xf numFmtId="2" fontId="2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0" fillId="3" borderId="5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 wrapText="1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 applyProtection="1">
      <alignment horizontal="center" vertical="center" wrapText="1"/>
    </xf>
    <xf numFmtId="0" fontId="0" fillId="3" borderId="8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0" fillId="4" borderId="5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right" vertical="center" wrapText="1"/>
    </xf>
    <xf numFmtId="2" fontId="7" fillId="4" borderId="0" xfId="0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2" fontId="7" fillId="4" borderId="0" xfId="1" applyNumberFormat="1" applyFont="1" applyFill="1" applyBorder="1" applyAlignment="1" applyProtection="1">
      <alignment horizontal="right" vertical="center" wrapText="1"/>
    </xf>
    <xf numFmtId="2" fontId="7" fillId="4" borderId="0" xfId="0" applyNumberFormat="1" applyFont="1" applyFill="1" applyBorder="1" applyAlignment="1" applyProtection="1">
      <alignment horizontal="right"/>
    </xf>
    <xf numFmtId="0" fontId="0" fillId="4" borderId="7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164" fontId="0" fillId="4" borderId="10" xfId="0" applyNumberFormat="1" applyFont="1" applyFill="1" applyBorder="1" applyAlignment="1" applyProtection="1">
      <alignment horizontal="center" vertical="center" wrapText="1"/>
    </xf>
    <xf numFmtId="0" fontId="0" fillId="4" borderId="10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Protection="1"/>
    <xf numFmtId="0" fontId="0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</xf>
    <xf numFmtId="166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166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168" fontId="2" fillId="2" borderId="0" xfId="0" applyNumberFormat="1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textRotation="90" wrapText="1"/>
    </xf>
    <xf numFmtId="2" fontId="6" fillId="2" borderId="19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3" borderId="6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right" vertical="center" wrapText="1"/>
    </xf>
    <xf numFmtId="49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0" xfId="0" applyFont="1" applyFill="1" applyBorder="1" applyAlignment="1" applyProtection="1">
      <alignment horizontal="right" vertical="center" wrapText="1"/>
    </xf>
    <xf numFmtId="167" fontId="7" fillId="4" borderId="0" xfId="0" applyNumberFormat="1" applyFont="1" applyFill="1" applyBorder="1" applyAlignment="1" applyProtection="1">
      <alignment horizontal="left" vertical="center" wrapText="1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2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166" fontId="7" fillId="4" borderId="0" xfId="0" applyNumberFormat="1" applyFont="1" applyFill="1" applyBorder="1" applyAlignment="1" applyProtection="1">
      <alignment horizontal="right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 wrapText="1"/>
    </xf>
    <xf numFmtId="11" fontId="3" fillId="2" borderId="0" xfId="0" applyNumberFormat="1" applyFont="1" applyFill="1" applyBorder="1" applyAlignment="1" applyProtection="1">
      <alignment horizontal="center" vertical="center" wrapText="1"/>
    </xf>
    <xf numFmtId="11" fontId="20" fillId="2" borderId="0" xfId="0" applyNumberFormat="1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Protection="1"/>
    <xf numFmtId="2" fontId="20" fillId="2" borderId="0" xfId="0" applyNumberFormat="1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9" fillId="2" borderId="0" xfId="0" applyFont="1" applyFill="1" applyBorder="1" applyProtection="1"/>
    <xf numFmtId="2" fontId="2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169" fontId="23" fillId="2" borderId="0" xfId="0" applyNumberFormat="1" applyFont="1" applyFill="1" applyBorder="1" applyAlignment="1" applyProtection="1">
      <alignment horizontal="center"/>
    </xf>
    <xf numFmtId="0" fontId="30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31" fillId="2" borderId="1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0" fillId="3" borderId="6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right" vertical="center" wrapText="1"/>
    </xf>
    <xf numFmtId="0" fontId="13" fillId="2" borderId="16" xfId="0" applyFont="1" applyFill="1" applyBorder="1" applyAlignment="1" applyProtection="1">
      <alignment horizontal="right" vertical="center" wrapText="1"/>
    </xf>
    <xf numFmtId="0" fontId="24" fillId="2" borderId="0" xfId="0" applyFont="1" applyFill="1" applyBorder="1" applyAlignment="1" applyProtection="1">
      <alignment horizontal="right" vertical="center" wrapText="1"/>
    </xf>
    <xf numFmtId="0" fontId="24" fillId="2" borderId="0" xfId="0" applyFont="1" applyFill="1" applyBorder="1" applyAlignment="1" applyProtection="1">
      <alignment horizontal="right" vertical="center"/>
    </xf>
    <xf numFmtId="0" fontId="22" fillId="2" borderId="0" xfId="34" applyFont="1" applyFill="1" applyBorder="1" applyAlignment="1" applyProtection="1">
      <alignment horizontal="right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textRotation="90" wrapText="1"/>
    </xf>
    <xf numFmtId="0" fontId="16" fillId="2" borderId="2" xfId="0" applyFont="1" applyFill="1" applyBorder="1" applyAlignment="1" applyProtection="1">
      <alignment horizontal="center" textRotation="90" wrapText="1"/>
    </xf>
    <xf numFmtId="0" fontId="13" fillId="2" borderId="12" xfId="0" applyFont="1" applyFill="1" applyBorder="1" applyAlignment="1" applyProtection="1">
      <alignment horizontal="left" textRotation="90" wrapText="1"/>
    </xf>
    <xf numFmtId="0" fontId="13" fillId="2" borderId="0" xfId="0" applyFont="1" applyFill="1" applyBorder="1" applyAlignment="1" applyProtection="1">
      <alignment horizontal="left" textRotation="90" wrapText="1"/>
    </xf>
    <xf numFmtId="0" fontId="13" fillId="2" borderId="1" xfId="0" applyFont="1" applyFill="1" applyBorder="1" applyAlignment="1" applyProtection="1">
      <alignment horizontal="left" textRotation="90" wrapText="1"/>
    </xf>
    <xf numFmtId="0" fontId="23" fillId="2" borderId="12" xfId="0" applyFont="1" applyFill="1" applyBorder="1" applyAlignment="1" applyProtection="1">
      <alignment horizontal="center" textRotation="90" wrapText="1"/>
    </xf>
    <xf numFmtId="0" fontId="23" fillId="2" borderId="0" xfId="0" applyFont="1" applyFill="1" applyBorder="1" applyAlignment="1" applyProtection="1">
      <alignment horizontal="center" textRotation="90" wrapText="1"/>
    </xf>
    <xf numFmtId="0" fontId="23" fillId="2" borderId="1" xfId="0" applyFont="1" applyFill="1" applyBorder="1" applyAlignment="1" applyProtection="1">
      <alignment horizontal="center" textRotation="90" wrapText="1"/>
    </xf>
    <xf numFmtId="0" fontId="13" fillId="2" borderId="0" xfId="0" applyFont="1" applyFill="1" applyBorder="1" applyAlignment="1" applyProtection="1">
      <alignment horizontal="left" wrapText="1"/>
    </xf>
  </cellXfs>
  <cellStyles count="3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Normal" xfId="0" builtinId="0"/>
    <cellStyle name="Pourcentage" xfId="1" builtinId="5"/>
  </cellStyles>
  <dxfs count="5"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vertical/>
        <horizontal/>
      </border>
    </dxf>
    <dxf>
      <numFmt numFmtId="168" formatCode="0.0000E+00"/>
    </dxf>
    <dxf>
      <numFmt numFmtId="170" formatCode="0.000"/>
    </dxf>
    <dxf>
      <numFmt numFmtId="168" formatCode="0.0000E+0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08223972003497E-2"/>
          <c:y val="0.37541608000979498"/>
          <c:w val="0.65138363954505696"/>
          <c:h val="0.40351821952189998"/>
        </c:manualLayout>
      </c:layout>
      <c:barChart>
        <c:barDir val="bar"/>
        <c:grouping val="stacked"/>
        <c:varyColors val="0"/>
        <c:ser>
          <c:idx val="0"/>
          <c:order val="0"/>
          <c:tx>
            <c:v>Injection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Injection!$W$17</c:f>
              <c:numCache>
                <c:formatCode>0.00</c:formatCode>
                <c:ptCount val="1"/>
                <c:pt idx="0">
                  <c:v>0.63699073783798221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2-498F-9664-F769AFD9131C}"/>
            </c:ext>
          </c:extLst>
        </c:ser>
        <c:ser>
          <c:idx val="1"/>
          <c:order val="1"/>
          <c:tx>
            <c:v>Effective volume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Injection!$W$18</c:f>
              <c:numCache>
                <c:formatCode>General</c:formatCode>
                <c:ptCount val="1"/>
                <c:pt idx="0">
                  <c:v>29.363009262162016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2-498F-9664-F769AFD9131C}"/>
            </c:ext>
          </c:extLst>
        </c:ser>
        <c:ser>
          <c:idx val="2"/>
          <c:order val="2"/>
          <c:tx>
            <c:v>Total volume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Injection!$W$19</c:f>
              <c:numCache>
                <c:formatCode>0.00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2-498F-9664-F769AFD91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2965264"/>
        <c:axId val="-2112962288"/>
      </c:barChart>
      <c:catAx>
        <c:axId val="-2112965264"/>
        <c:scaling>
          <c:orientation val="minMax"/>
        </c:scaling>
        <c:delete val="1"/>
        <c:axPos val="l"/>
        <c:majorTickMark val="none"/>
        <c:minorTickMark val="none"/>
        <c:tickLblPos val="nextTo"/>
        <c:crossAx val="-2112962288"/>
        <c:crossesAt val="0"/>
        <c:auto val="1"/>
        <c:lblAlgn val="ctr"/>
        <c:lblOffset val="100"/>
        <c:noMultiLvlLbl val="0"/>
      </c:catAx>
      <c:valAx>
        <c:axId val="-211296228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1296526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801873203212"/>
          <c:y val="0.33290302892589702"/>
          <c:w val="0.17427395063165699"/>
          <c:h val="0.6149775984976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tiff"/><Relationship Id="rId3" Type="http://schemas.openxmlformats.org/officeDocument/2006/relationships/image" Target="../media/image2.png"/><Relationship Id="rId7" Type="http://schemas.openxmlformats.org/officeDocument/2006/relationships/hyperlink" Target="mailto:victor.gonzalez@unige.ch" TargetMode="Externa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openxmlformats.org/officeDocument/2006/relationships/image" Target="../media/image3.png"/><Relationship Id="rId4" Type="http://schemas.openxmlformats.org/officeDocument/2006/relationships/hyperlink" Target="http://www.unige.ch/sciences/pharm/fanal/lca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35753</xdr:colOff>
      <xdr:row>8</xdr:row>
      <xdr:rowOff>275260</xdr:rowOff>
    </xdr:from>
    <xdr:to>
      <xdr:col>11</xdr:col>
      <xdr:colOff>167557</xdr:colOff>
      <xdr:row>10</xdr:row>
      <xdr:rowOff>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8525" y="3433005"/>
          <a:ext cx="359575" cy="283845"/>
        </a:xfrm>
        <a:prstGeom prst="rect">
          <a:avLst/>
        </a:prstGeom>
      </xdr:spPr>
    </xdr:pic>
    <xdr:clientData/>
  </xdr:twoCellAnchor>
  <xdr:twoCellAnchor>
    <xdr:from>
      <xdr:col>0</xdr:col>
      <xdr:colOff>231490</xdr:colOff>
      <xdr:row>18</xdr:row>
      <xdr:rowOff>63864</xdr:rowOff>
    </xdr:from>
    <xdr:to>
      <xdr:col>14</xdr:col>
      <xdr:colOff>865800</xdr:colOff>
      <xdr:row>23</xdr:row>
      <xdr:rowOff>4367</xdr:rowOff>
    </xdr:to>
    <xdr:grpSp>
      <xdr:nvGrpSpPr>
        <xdr:cNvPr id="9" name="Groupe 8"/>
        <xdr:cNvGrpSpPr/>
      </xdr:nvGrpSpPr>
      <xdr:grpSpPr>
        <a:xfrm>
          <a:off x="231490" y="5407389"/>
          <a:ext cx="7968560" cy="940628"/>
          <a:chOff x="364384" y="5736056"/>
          <a:chExt cx="8457474" cy="957217"/>
        </a:xfrm>
      </xdr:grpSpPr>
      <xdr:grpSp>
        <xdr:nvGrpSpPr>
          <xdr:cNvPr id="8" name="Groupe 7"/>
          <xdr:cNvGrpSpPr/>
        </xdr:nvGrpSpPr>
        <xdr:grpSpPr>
          <a:xfrm>
            <a:off x="364384" y="5736056"/>
            <a:ext cx="8457474" cy="927049"/>
            <a:chOff x="1376068" y="6967742"/>
            <a:chExt cx="8032060" cy="1045472"/>
          </a:xfrm>
        </xdr:grpSpPr>
        <xdr:graphicFrame macro="">
          <xdr:nvGraphicFramePr>
            <xdr:cNvPr id="3" name="Graphique 2"/>
            <xdr:cNvGraphicFramePr/>
          </xdr:nvGraphicFramePr>
          <xdr:xfrm>
            <a:off x="1376068" y="6967742"/>
            <a:ext cx="8032060" cy="104547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pic>
          <xdr:nvPicPr>
            <xdr:cNvPr id="7" name="Image 6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5763" y="7309096"/>
              <a:ext cx="6034210" cy="391761"/>
            </a:xfrm>
            <a:prstGeom prst="rect">
              <a:avLst/>
            </a:prstGeom>
          </xdr:spPr>
        </xdr:pic>
      </xdr:grpSp>
      <xdr:sp macro="" textlink="">
        <xdr:nvSpPr>
          <xdr:cNvPr id="2" name="ZoneTexte 1"/>
          <xdr:cNvSpPr txBox="1"/>
        </xdr:nvSpPr>
        <xdr:spPr>
          <a:xfrm>
            <a:off x="6335367" y="6466978"/>
            <a:ext cx="390181" cy="2262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CH" sz="900" dirty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%</a:t>
            </a:r>
          </a:p>
        </xdr:txBody>
      </xdr:sp>
    </xdr:grpSp>
    <xdr:clientData/>
  </xdr:twoCellAnchor>
  <xdr:twoCellAnchor editAs="oneCell">
    <xdr:from>
      <xdr:col>14</xdr:col>
      <xdr:colOff>993778</xdr:colOff>
      <xdr:row>20</xdr:row>
      <xdr:rowOff>63500</xdr:rowOff>
    </xdr:from>
    <xdr:to>
      <xdr:col>17</xdr:col>
      <xdr:colOff>364245</xdr:colOff>
      <xdr:row>21</xdr:row>
      <xdr:rowOff>190880</xdr:rowOff>
    </xdr:to>
    <xdr:pic>
      <xdr:nvPicPr>
        <xdr:cNvPr id="5" name="Imagen 4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47078" y="5880100"/>
          <a:ext cx="1364367" cy="330580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647700</xdr:colOff>
      <xdr:row>1</xdr:row>
      <xdr:rowOff>101600</xdr:rowOff>
    </xdr:from>
    <xdr:to>
      <xdr:col>13</xdr:col>
      <xdr:colOff>25400</xdr:colOff>
      <xdr:row>2</xdr:row>
      <xdr:rowOff>541919</xdr:rowOff>
    </xdr:to>
    <xdr:pic>
      <xdr:nvPicPr>
        <xdr:cNvPr id="6" name="Imagen 5" descr="logodef.pdf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0" y="482600"/>
          <a:ext cx="927100" cy="656219"/>
        </a:xfrm>
        <a:prstGeom prst="rect">
          <a:avLst/>
        </a:prstGeom>
      </xdr:spPr>
    </xdr:pic>
    <xdr:clientData/>
  </xdr:twoCellAnchor>
  <xdr:twoCellAnchor editAs="oneCell">
    <xdr:from>
      <xdr:col>13</xdr:col>
      <xdr:colOff>819529</xdr:colOff>
      <xdr:row>26</xdr:row>
      <xdr:rowOff>18404</xdr:rowOff>
    </xdr:from>
    <xdr:to>
      <xdr:col>18</xdr:col>
      <xdr:colOff>21708</xdr:colOff>
      <xdr:row>27</xdr:row>
      <xdr:rowOff>18648</xdr:rowOff>
    </xdr:to>
    <xdr:pic>
      <xdr:nvPicPr>
        <xdr:cNvPr id="10" name="Imagen 9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49187" y="7025113"/>
          <a:ext cx="3614615" cy="163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ctor.gonzalez@unige.ch" TargetMode="External"/><Relationship Id="rId2" Type="http://schemas.openxmlformats.org/officeDocument/2006/relationships/hyperlink" Target="mailto:victor.gonzalez@unige.ch" TargetMode="External"/><Relationship Id="rId1" Type="http://schemas.openxmlformats.org/officeDocument/2006/relationships/hyperlink" Target="mailto:victor.gonzalez@unige.ch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victor.gonzalez@unig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showRowColHeaders="0" tabSelected="1" workbookViewId="0">
      <selection activeCell="H6" sqref="H6"/>
    </sheetView>
  </sheetViews>
  <sheetFormatPr baseColWidth="10" defaultColWidth="15.625" defaultRowHeight="15.75"/>
  <cols>
    <col min="1" max="1" width="5.5" style="46" customWidth="1"/>
    <col min="2" max="2" width="0.625" style="46" customWidth="1"/>
    <col min="3" max="4" width="1.625" style="46" customWidth="1"/>
    <col min="5" max="5" width="0.625" style="46" customWidth="1"/>
    <col min="6" max="6" width="3.125" style="46" customWidth="1"/>
    <col min="7" max="7" width="19.625" style="46" customWidth="1"/>
    <col min="8" max="8" width="16.875" style="4" customWidth="1"/>
    <col min="9" max="9" width="8.625" style="46" customWidth="1"/>
    <col min="10" max="11" width="3" style="46" customWidth="1"/>
    <col min="12" max="12" width="2.625" style="46" customWidth="1"/>
    <col min="13" max="13" width="3" style="46" customWidth="1"/>
    <col min="14" max="14" width="26.375" style="46" customWidth="1"/>
    <col min="15" max="15" width="15" style="46" customWidth="1"/>
    <col min="16" max="16" width="8.125" style="46" customWidth="1"/>
    <col min="17" max="17" width="3" style="46" customWidth="1"/>
    <col min="18" max="18" width="5.375" style="46" customWidth="1"/>
    <col min="19" max="19" width="22" style="55" customWidth="1"/>
    <col min="20" max="26" width="15.625" style="55"/>
    <col min="27" max="29" width="15.625" style="56"/>
    <col min="30" max="16384" width="15.625" style="46"/>
  </cols>
  <sheetData>
    <row r="1" spans="2:34" ht="30" customHeight="1" thickBot="1">
      <c r="B1" s="91" t="str">
        <f>IF(O10&gt;100,"WARNING: The injected volume is larger than the total volume of the capillary. Consider modifying your injection parameters.",IF(O9&gt;100,"WARNING: The injected volume is larger than the effective volume of the capillary. Consider modifying your injection parameters."," "))</f>
        <v xml:space="preserve">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T1" s="55" t="s">
        <v>45</v>
      </c>
      <c r="U1" s="55" t="s">
        <v>47</v>
      </c>
      <c r="V1" s="55" t="s">
        <v>46</v>
      </c>
      <c r="W1" s="55" t="s">
        <v>50</v>
      </c>
      <c r="AD1" s="55"/>
      <c r="AE1" s="55"/>
      <c r="AF1" s="55"/>
      <c r="AG1" s="55"/>
      <c r="AH1" s="56"/>
    </row>
    <row r="2" spans="2:34" ht="17.100000000000001" customHeight="1">
      <c r="B2" s="92"/>
      <c r="C2" s="97" t="s">
        <v>60</v>
      </c>
      <c r="D2" s="97" t="s">
        <v>61</v>
      </c>
      <c r="E2" s="94"/>
      <c r="F2" s="30"/>
      <c r="G2" s="30"/>
      <c r="H2" s="31"/>
      <c r="I2" s="30"/>
      <c r="J2" s="30"/>
      <c r="K2" s="30"/>
      <c r="L2" s="30"/>
      <c r="M2" s="30"/>
      <c r="N2" s="30"/>
      <c r="O2" s="30"/>
      <c r="P2" s="30"/>
      <c r="Q2" s="30"/>
      <c r="R2" s="32"/>
      <c r="AD2" s="55"/>
      <c r="AE2" s="55"/>
      <c r="AF2" s="55"/>
      <c r="AG2" s="55"/>
      <c r="AH2" s="56"/>
    </row>
    <row r="3" spans="2:34" ht="50.1" customHeight="1">
      <c r="B3" s="93"/>
      <c r="C3" s="98"/>
      <c r="D3" s="98"/>
      <c r="E3" s="95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3"/>
      <c r="S3" s="2"/>
      <c r="T3" s="2" t="s">
        <v>27</v>
      </c>
      <c r="U3" s="55" t="s">
        <v>39</v>
      </c>
      <c r="V3" s="55" t="s">
        <v>34</v>
      </c>
      <c r="W3" s="2" t="s">
        <v>33</v>
      </c>
      <c r="X3" s="55" t="s">
        <v>35</v>
      </c>
      <c r="Y3" s="55" t="s">
        <v>53</v>
      </c>
      <c r="AD3" s="55"/>
      <c r="AE3" s="55"/>
      <c r="AF3" s="55"/>
      <c r="AG3" s="55"/>
      <c r="AH3" s="56"/>
    </row>
    <row r="4" spans="2:34" ht="18.95" customHeight="1">
      <c r="B4" s="93"/>
      <c r="C4" s="98"/>
      <c r="D4" s="98"/>
      <c r="E4" s="95"/>
      <c r="G4" s="6"/>
      <c r="H4" s="6"/>
      <c r="I4" s="6"/>
      <c r="J4" s="6"/>
      <c r="K4" s="6"/>
      <c r="L4" s="6"/>
      <c r="M4" s="6"/>
      <c r="N4" s="6"/>
      <c r="O4" s="6"/>
      <c r="Q4" s="2"/>
      <c r="R4" s="34"/>
      <c r="S4" s="2"/>
      <c r="T4" s="55" t="s">
        <v>29</v>
      </c>
      <c r="U4" s="55" t="s">
        <v>40</v>
      </c>
      <c r="V4" s="55" t="s">
        <v>36</v>
      </c>
      <c r="W4" s="2" t="s">
        <v>37</v>
      </c>
      <c r="X4" s="55" t="s">
        <v>43</v>
      </c>
      <c r="Y4" s="55" t="s">
        <v>32</v>
      </c>
      <c r="Z4" s="60" t="s">
        <v>28</v>
      </c>
      <c r="AD4" s="55"/>
      <c r="AE4" s="55"/>
      <c r="AF4" s="55"/>
      <c r="AG4" s="55"/>
      <c r="AH4" s="56"/>
    </row>
    <row r="5" spans="2:34" ht="47.1" customHeight="1">
      <c r="B5" s="93"/>
      <c r="C5" s="98"/>
      <c r="D5" s="98"/>
      <c r="E5" s="95"/>
      <c r="F5" s="7"/>
      <c r="G5" s="85" t="s">
        <v>24</v>
      </c>
      <c r="H5" s="85"/>
      <c r="I5" s="8"/>
      <c r="J5" s="9"/>
      <c r="K5" s="6"/>
      <c r="L5" s="6"/>
      <c r="M5" s="15"/>
      <c r="N5" s="80" t="s">
        <v>25</v>
      </c>
      <c r="O5" s="80"/>
      <c r="P5" s="16"/>
      <c r="Q5" s="17"/>
      <c r="R5" s="34"/>
      <c r="S5" s="2"/>
      <c r="T5" s="2" t="s">
        <v>41</v>
      </c>
      <c r="U5" s="2" t="s">
        <v>42</v>
      </c>
      <c r="V5" s="55" t="s">
        <v>6</v>
      </c>
      <c r="W5" s="55" t="s">
        <v>62</v>
      </c>
      <c r="X5" s="55" t="s">
        <v>3</v>
      </c>
      <c r="Y5" s="55" t="s">
        <v>63</v>
      </c>
      <c r="AD5" s="55"/>
      <c r="AE5" s="55"/>
      <c r="AF5" s="55"/>
      <c r="AG5" s="55"/>
      <c r="AH5" s="56"/>
    </row>
    <row r="6" spans="2:34" ht="21.95" customHeight="1">
      <c r="B6" s="93"/>
      <c r="C6" s="98"/>
      <c r="D6" s="98"/>
      <c r="E6" s="95"/>
      <c r="F6" s="10"/>
      <c r="G6" s="11" t="s">
        <v>13</v>
      </c>
      <c r="H6" s="40">
        <v>50</v>
      </c>
      <c r="I6" s="39" t="s">
        <v>0</v>
      </c>
      <c r="J6" s="47"/>
      <c r="M6" s="18"/>
      <c r="N6" s="19" t="s">
        <v>18</v>
      </c>
      <c r="O6" s="20">
        <f>T9*1000000000000</f>
        <v>1570.7963267948967</v>
      </c>
      <c r="P6" s="21" t="s">
        <v>1</v>
      </c>
      <c r="Q6" s="22"/>
      <c r="R6" s="34"/>
      <c r="S6" s="61" t="s">
        <v>2</v>
      </c>
      <c r="T6" s="62">
        <f>H6/1000000</f>
        <v>5.0000000000000002E-5</v>
      </c>
      <c r="U6" s="2"/>
      <c r="V6" s="79" t="s">
        <v>54</v>
      </c>
      <c r="W6" s="79"/>
      <c r="AD6" s="55"/>
      <c r="AE6" s="55"/>
      <c r="AF6" s="55"/>
      <c r="AG6" s="55"/>
      <c r="AH6" s="56"/>
    </row>
    <row r="7" spans="2:34" ht="21.95" customHeight="1">
      <c r="B7" s="93"/>
      <c r="C7" s="98"/>
      <c r="D7" s="98"/>
      <c r="E7" s="95"/>
      <c r="F7" s="10"/>
      <c r="G7" s="11" t="s">
        <v>16</v>
      </c>
      <c r="H7" s="40">
        <v>80</v>
      </c>
      <c r="I7" s="42" t="s">
        <v>3</v>
      </c>
      <c r="J7" s="47"/>
      <c r="M7" s="18"/>
      <c r="N7" s="19" t="s">
        <v>19</v>
      </c>
      <c r="O7" s="20">
        <f>T10*1000000000000</f>
        <v>471.23889803846896</v>
      </c>
      <c r="P7" s="21" t="s">
        <v>1</v>
      </c>
      <c r="Q7" s="22"/>
      <c r="R7" s="34"/>
      <c r="S7" s="61" t="s">
        <v>4</v>
      </c>
      <c r="T7" s="2">
        <f>IF(I7=X5,H7/100,H7/39.37)</f>
        <v>0.8</v>
      </c>
      <c r="U7" s="2"/>
      <c r="V7" s="55" t="s">
        <v>38</v>
      </c>
      <c r="W7" s="55">
        <f>H14*O8/1000000000</f>
        <v>1.50087406679741E-7</v>
      </c>
      <c r="AD7" s="55"/>
      <c r="AE7" s="55"/>
      <c r="AF7" s="55"/>
      <c r="AG7" s="55"/>
      <c r="AH7" s="56"/>
    </row>
    <row r="8" spans="2:34" ht="21.95" customHeight="1">
      <c r="B8" s="93"/>
      <c r="C8" s="98"/>
      <c r="D8" s="98"/>
      <c r="E8" s="95"/>
      <c r="F8" s="10"/>
      <c r="G8" s="11" t="s">
        <v>17</v>
      </c>
      <c r="H8" s="40">
        <v>24</v>
      </c>
      <c r="I8" s="39" t="str">
        <f>IF(I7=X5,X5,Y5)</f>
        <v>cm</v>
      </c>
      <c r="J8" s="84"/>
      <c r="K8" s="82"/>
      <c r="L8" s="83"/>
      <c r="M8" s="18"/>
      <c r="N8" s="19" t="s">
        <v>20</v>
      </c>
      <c r="O8" s="54">
        <f>IF(I9=V5,H9*1000*PI()*POWER(T6/2,4)*H10/8/T7/(O15/100)*1000000000000,H9*68.9475729*1000*PI()*POWER(T6/2,4)*H10/8/T7/(O15/100)*1000000000000)</f>
        <v>10.005827111982734</v>
      </c>
      <c r="P8" s="21" t="s">
        <v>1</v>
      </c>
      <c r="Q8" s="22"/>
      <c r="R8" s="34"/>
      <c r="S8" s="61" t="s">
        <v>5</v>
      </c>
      <c r="T8" s="2">
        <f>IF(I7=X5,H8/100,H8/39.37)</f>
        <v>0.24</v>
      </c>
      <c r="U8" s="2"/>
      <c r="V8" s="55" t="s">
        <v>29</v>
      </c>
      <c r="W8" s="63">
        <f>IF(I14=T3,W7,IF(I14=V3,W7/1000000,IF(I14=W3,W7/1000000000,IF(I14=X3,W7/H15/1000,IF(I14=U3,W7/1000,W7/H15/1000000)))))</f>
        <v>1.5008740667974101E-16</v>
      </c>
      <c r="AD8" s="55"/>
      <c r="AE8" s="55"/>
      <c r="AF8" s="55"/>
      <c r="AG8" s="55"/>
      <c r="AH8" s="56"/>
    </row>
    <row r="9" spans="2:34" ht="21.95" customHeight="1">
      <c r="B9" s="93"/>
      <c r="C9" s="98"/>
      <c r="D9" s="98"/>
      <c r="E9" s="95"/>
      <c r="F9" s="10"/>
      <c r="G9" s="11" t="s">
        <v>14</v>
      </c>
      <c r="H9" s="38">
        <v>50</v>
      </c>
      <c r="I9" s="42" t="s">
        <v>6</v>
      </c>
      <c r="J9" s="84"/>
      <c r="M9" s="18"/>
      <c r="N9" s="19" t="s">
        <v>21</v>
      </c>
      <c r="O9" s="23">
        <f>O8/O7*100</f>
        <v>2.1233024594599406</v>
      </c>
      <c r="P9" s="21" t="s">
        <v>7</v>
      </c>
      <c r="Q9" s="22"/>
      <c r="R9" s="34"/>
      <c r="S9" s="61" t="s">
        <v>8</v>
      </c>
      <c r="T9" s="62">
        <f>PI()*(T6/2)^2*T7</f>
        <v>1.5707963267948966E-9</v>
      </c>
      <c r="U9" s="2"/>
      <c r="V9" s="55" t="s">
        <v>40</v>
      </c>
      <c r="W9" s="63">
        <f>W8*1000</f>
        <v>1.5008740667974101E-13</v>
      </c>
      <c r="AD9" s="55"/>
      <c r="AE9" s="55"/>
      <c r="AF9" s="55"/>
      <c r="AG9" s="55"/>
      <c r="AH9" s="56"/>
    </row>
    <row r="10" spans="2:34" ht="21.95" customHeight="1">
      <c r="B10" s="93"/>
      <c r="C10" s="98"/>
      <c r="D10" s="98"/>
      <c r="E10" s="95"/>
      <c r="F10" s="10"/>
      <c r="G10" s="11" t="s">
        <v>15</v>
      </c>
      <c r="H10" s="40">
        <v>10</v>
      </c>
      <c r="I10" s="39" t="s">
        <v>9</v>
      </c>
      <c r="J10" s="84"/>
      <c r="M10" s="18"/>
      <c r="N10" s="19" t="s">
        <v>22</v>
      </c>
      <c r="O10" s="24">
        <f>O8/O6*100</f>
        <v>0.63699073783798221</v>
      </c>
      <c r="P10" s="21" t="s">
        <v>7</v>
      </c>
      <c r="Q10" s="22"/>
      <c r="R10" s="34"/>
      <c r="S10" s="61" t="s">
        <v>66</v>
      </c>
      <c r="T10" s="62">
        <f>PI()*(T6/2)^2*T8</f>
        <v>4.7123889803846896E-10</v>
      </c>
      <c r="U10" s="2"/>
      <c r="V10" s="55" t="s">
        <v>36</v>
      </c>
      <c r="W10" s="63">
        <f>W8*1000000</f>
        <v>1.50087406679741E-10</v>
      </c>
      <c r="AD10" s="55"/>
      <c r="AE10" s="55"/>
      <c r="AF10" s="55"/>
      <c r="AG10" s="55"/>
      <c r="AH10" s="56"/>
    </row>
    <row r="11" spans="2:34" ht="21.95" customHeight="1">
      <c r="B11" s="93"/>
      <c r="C11" s="98"/>
      <c r="D11" s="98"/>
      <c r="E11" s="95"/>
      <c r="F11" s="10"/>
      <c r="G11" s="11" t="str">
        <f>IF(H12=W1," ","Temperature =")</f>
        <v>Temperature =</v>
      </c>
      <c r="H11" s="41">
        <v>22</v>
      </c>
      <c r="I11" s="39" t="str">
        <f>IF(H12=W1," ","°C")</f>
        <v>°C</v>
      </c>
      <c r="J11" s="47"/>
      <c r="M11" s="18"/>
      <c r="N11" s="50" t="s">
        <v>52</v>
      </c>
      <c r="O11" s="20">
        <f>O8/(PI()*(H6/2)^2)*1000</f>
        <v>5.0959259027038577</v>
      </c>
      <c r="P11" s="21" t="s">
        <v>10</v>
      </c>
      <c r="Q11" s="22"/>
      <c r="R11" s="34"/>
      <c r="S11" s="2"/>
      <c r="T11" s="2"/>
      <c r="U11" s="2"/>
      <c r="V11" s="55" t="s">
        <v>37</v>
      </c>
      <c r="W11" s="63">
        <f>W8*1000000000</f>
        <v>1.50087406679741E-7</v>
      </c>
      <c r="AD11" s="55"/>
      <c r="AE11" s="55"/>
      <c r="AF11" s="55"/>
      <c r="AG11" s="55"/>
      <c r="AH11" s="56"/>
    </row>
    <row r="12" spans="2:34" ht="21.95" customHeight="1">
      <c r="B12" s="93"/>
      <c r="C12" s="98"/>
      <c r="D12" s="98"/>
      <c r="E12" s="95"/>
      <c r="F12" s="10"/>
      <c r="G12" s="11" t="s">
        <v>58</v>
      </c>
      <c r="H12" s="49" t="s">
        <v>45</v>
      </c>
      <c r="I12" s="39"/>
      <c r="J12" s="47"/>
      <c r="M12" s="18"/>
      <c r="N12" s="19" t="s">
        <v>31</v>
      </c>
      <c r="O12" s="20">
        <f>IF(P12=T5,O8/H10,O8/H10*60)</f>
        <v>1.0005827111982735</v>
      </c>
      <c r="P12" s="42" t="s">
        <v>41</v>
      </c>
      <c r="Q12" s="22"/>
      <c r="R12" s="34"/>
      <c r="S12" s="61" t="s">
        <v>12</v>
      </c>
      <c r="T12" s="64">
        <f>O8/1000/1000/1000</f>
        <v>1.0005827111982733E-8</v>
      </c>
      <c r="U12" s="2"/>
      <c r="V12" s="55" t="s">
        <v>43</v>
      </c>
      <c r="W12" s="63">
        <f>W8*1000000000000</f>
        <v>1.5008740667974102E-4</v>
      </c>
      <c r="AD12" s="55"/>
      <c r="AE12" s="55"/>
      <c r="AF12" s="55"/>
      <c r="AG12" s="55"/>
      <c r="AH12" s="56"/>
    </row>
    <row r="13" spans="2:34" ht="21.95" customHeight="1">
      <c r="B13" s="93"/>
      <c r="C13" s="98"/>
      <c r="D13" s="98"/>
      <c r="E13" s="95"/>
      <c r="F13" s="10"/>
      <c r="G13" s="48" t="str">
        <f>IF(H12=T1," ",IF(H12=U1,"% MeCN =",IF(H12=V1,"% MeOH =","BGE η  =")))</f>
        <v xml:space="preserve"> </v>
      </c>
      <c r="H13" s="53">
        <v>10</v>
      </c>
      <c r="I13" s="39" t="str">
        <f>IF(H12=W1,"mPa·s"," ")</f>
        <v xml:space="preserve"> </v>
      </c>
      <c r="J13" s="47"/>
      <c r="M13" s="18"/>
      <c r="N13" s="19" t="s">
        <v>23</v>
      </c>
      <c r="O13" s="20">
        <f>H10*O6/O8/60</f>
        <v>26.164692320700293</v>
      </c>
      <c r="P13" s="21" t="s">
        <v>11</v>
      </c>
      <c r="Q13" s="22"/>
      <c r="R13" s="34"/>
      <c r="S13" s="61"/>
      <c r="T13" s="64"/>
      <c r="U13" s="2"/>
      <c r="V13" s="55" t="s">
        <v>32</v>
      </c>
      <c r="W13" s="63">
        <f>W8*H15*1000000000</f>
        <v>2.2663198408640893E-5</v>
      </c>
      <c r="X13" s="60">
        <f>IF(I14=X3,H14*O8/1000,IF(I14=Y3,H14*O8/1000000,W8*H15*1000000000))</f>
        <v>2.2663198408640893E-5</v>
      </c>
      <c r="AD13" s="55"/>
      <c r="AE13" s="55"/>
      <c r="AF13" s="55"/>
      <c r="AG13" s="55"/>
      <c r="AH13" s="56"/>
    </row>
    <row r="14" spans="2:34" ht="21.95" customHeight="1">
      <c r="B14" s="93"/>
      <c r="C14" s="98"/>
      <c r="D14" s="98"/>
      <c r="E14" s="95"/>
      <c r="F14" s="10"/>
      <c r="G14" s="11" t="s">
        <v>67</v>
      </c>
      <c r="H14" s="45">
        <v>15</v>
      </c>
      <c r="I14" s="42" t="s">
        <v>33</v>
      </c>
      <c r="J14" s="47"/>
      <c r="M14" s="18"/>
      <c r="N14" s="19" t="s">
        <v>68</v>
      </c>
      <c r="O14" s="20">
        <f>IF(P14=T4,W8,IF(P14=V4,W10,IF(P14=W4,W11,IF(P14=Y4,X13,IF(P14=Z4,X14,IF(P14=X4,W12,W9))))))</f>
        <v>1.5008740667974101E-16</v>
      </c>
      <c r="P14" s="52" t="s">
        <v>29</v>
      </c>
      <c r="Q14" s="22"/>
      <c r="R14" s="34"/>
      <c r="S14" s="61"/>
      <c r="T14" s="64"/>
      <c r="U14" s="2"/>
      <c r="V14" s="55" t="s">
        <v>28</v>
      </c>
      <c r="W14" s="63">
        <f>W8*H15*1000000000000</f>
        <v>2.2663198408640891E-2</v>
      </c>
      <c r="X14" s="55">
        <f>X13*1000</f>
        <v>2.2663198408640891E-2</v>
      </c>
      <c r="AD14" s="55"/>
      <c r="AE14" s="55"/>
      <c r="AF14" s="55"/>
      <c r="AG14" s="55"/>
      <c r="AH14" s="56"/>
    </row>
    <row r="15" spans="2:34" ht="21.95" customHeight="1">
      <c r="B15" s="93"/>
      <c r="C15" s="98"/>
      <c r="D15" s="98"/>
      <c r="E15" s="95"/>
      <c r="F15" s="10"/>
      <c r="G15" s="11" t="s">
        <v>26</v>
      </c>
      <c r="H15" s="40">
        <v>151</v>
      </c>
      <c r="I15" s="39" t="s">
        <v>30</v>
      </c>
      <c r="J15" s="47"/>
      <c r="M15" s="18"/>
      <c r="N15" s="19" t="s">
        <v>59</v>
      </c>
      <c r="O15" s="20">
        <f>IF(H12=T1,T17,IF(H12=U1,T18,IF(H12=V1,T19,IF(H12=W1,H13,))))</f>
        <v>0.9581796504162704</v>
      </c>
      <c r="P15" s="51" t="s">
        <v>51</v>
      </c>
      <c r="Q15" s="22"/>
      <c r="R15" s="34"/>
      <c r="S15" s="61"/>
      <c r="T15" s="64"/>
      <c r="U15" s="2"/>
      <c r="W15" s="63"/>
      <c r="AD15" s="55"/>
      <c r="AE15" s="55"/>
      <c r="AF15" s="55"/>
      <c r="AG15" s="55"/>
      <c r="AH15" s="56"/>
    </row>
    <row r="16" spans="2:34">
      <c r="B16" s="93"/>
      <c r="C16" s="98"/>
      <c r="D16" s="98"/>
      <c r="E16" s="95"/>
      <c r="F16" s="12"/>
      <c r="G16" s="13"/>
      <c r="H16" s="13"/>
      <c r="I16" s="13"/>
      <c r="J16" s="14"/>
      <c r="M16" s="25"/>
      <c r="N16" s="26"/>
      <c r="O16" s="27"/>
      <c r="P16" s="28"/>
      <c r="Q16" s="29"/>
      <c r="R16" s="34"/>
      <c r="S16" s="2"/>
      <c r="T16" s="2"/>
      <c r="U16" s="2"/>
      <c r="AD16" s="55"/>
      <c r="AE16" s="55"/>
      <c r="AF16" s="55"/>
      <c r="AG16" s="55"/>
      <c r="AH16" s="56"/>
    </row>
    <row r="17" spans="2:34">
      <c r="B17" s="93"/>
      <c r="C17" s="98"/>
      <c r="D17" s="98"/>
      <c r="E17" s="95"/>
      <c r="N17" s="1"/>
      <c r="O17" s="43"/>
      <c r="Q17" s="2"/>
      <c r="R17" s="34"/>
      <c r="S17" s="55" t="s">
        <v>44</v>
      </c>
      <c r="T17" s="65">
        <f>0.00002414*10^(247.8/($H11+273-140))*1000</f>
        <v>0.9581796504162704</v>
      </c>
      <c r="U17" s="2"/>
      <c r="V17" s="55" t="s">
        <v>55</v>
      </c>
      <c r="W17" s="66">
        <f>IF(O8&lt;=O6,O10,100)</f>
        <v>0.63699073783798221</v>
      </c>
      <c r="AD17" s="55"/>
      <c r="AE17" s="55"/>
      <c r="AF17" s="55"/>
      <c r="AG17" s="55"/>
      <c r="AH17" s="56"/>
    </row>
    <row r="18" spans="2:34" ht="11.1" customHeight="1" thickBot="1">
      <c r="B18" s="44"/>
      <c r="C18" s="99"/>
      <c r="D18" s="99"/>
      <c r="E18" s="96"/>
      <c r="F18" s="35"/>
      <c r="G18" s="35"/>
      <c r="H18" s="36"/>
      <c r="I18" s="35"/>
      <c r="J18" s="35"/>
      <c r="K18" s="35"/>
      <c r="L18" s="35"/>
      <c r="M18" s="35"/>
      <c r="N18" s="37"/>
      <c r="O18" s="86" t="s">
        <v>69</v>
      </c>
      <c r="P18" s="86"/>
      <c r="Q18" s="86"/>
      <c r="R18" s="87"/>
      <c r="S18" s="55" t="s">
        <v>48</v>
      </c>
      <c r="T18" s="65">
        <f>10^(-2.063+(601.9/(H11+273))+0.0709*H13/100+((62*H13/100)/(H11+273))+0.5043*(H13/100)*(H13/100)-(345.8*(H13/100)*(H13/100)/(H11+273)))</f>
        <v>0.9971647054803866</v>
      </c>
      <c r="U18" s="2"/>
      <c r="V18" s="55" t="s">
        <v>56</v>
      </c>
      <c r="W18" s="55">
        <f>IF(O8&lt;=O7,O7/O6*100-W17,0)</f>
        <v>29.363009262162016</v>
      </c>
      <c r="AD18" s="55"/>
      <c r="AE18" s="55"/>
      <c r="AF18" s="55"/>
      <c r="AG18" s="55"/>
      <c r="AH18" s="56"/>
    </row>
    <row r="19" spans="2:34">
      <c r="N19" s="1"/>
      <c r="O19" s="5"/>
      <c r="Q19" s="3"/>
      <c r="R19" s="3"/>
      <c r="S19" s="55" t="s">
        <v>49</v>
      </c>
      <c r="T19" s="65">
        <f>10^(-2.429+(714/(H11+273))-1.859*H13/100+((911.7*H13/100)/(H11+273))+1.8586*(H13/100)*(H13/100)-(968.1*(H13/100)*(H13/100)/(H11+273)))</f>
        <v>1.2596760763503227</v>
      </c>
      <c r="U19" s="2"/>
      <c r="V19" s="55" t="s">
        <v>57</v>
      </c>
      <c r="W19" s="66">
        <f>IF(O8&lt;=O6,100-W18-W17,0)</f>
        <v>70</v>
      </c>
      <c r="AD19" s="55"/>
      <c r="AE19" s="55"/>
      <c r="AF19" s="55"/>
      <c r="AG19" s="55"/>
      <c r="AH19" s="56"/>
    </row>
    <row r="20" spans="2:34">
      <c r="Q20" s="3"/>
      <c r="R20" s="3"/>
      <c r="AD20" s="55"/>
      <c r="AE20" s="55"/>
      <c r="AF20" s="55"/>
      <c r="AG20" s="55"/>
      <c r="AH20" s="56"/>
    </row>
    <row r="21" spans="2:34">
      <c r="Q21" s="3"/>
      <c r="R21" s="3"/>
      <c r="S21" s="78"/>
      <c r="T21" s="78"/>
      <c r="U21" s="78"/>
      <c r="V21" s="78"/>
      <c r="W21" s="78"/>
      <c r="X21" s="78"/>
      <c r="Y21" s="78"/>
      <c r="Z21" s="78"/>
      <c r="AD21" s="55"/>
      <c r="AE21" s="55"/>
      <c r="AF21" s="55"/>
      <c r="AG21" s="55"/>
      <c r="AH21" s="56"/>
    </row>
    <row r="22" spans="2:34">
      <c r="S22" s="67"/>
      <c r="T22" s="68"/>
      <c r="U22" s="68"/>
      <c r="V22" s="68"/>
      <c r="W22" s="68"/>
      <c r="X22" s="67"/>
      <c r="Y22" s="69"/>
      <c r="Z22" s="69"/>
      <c r="AD22" s="56"/>
      <c r="AE22" s="56"/>
      <c r="AF22" s="56"/>
      <c r="AG22" s="56"/>
      <c r="AH22" s="56"/>
    </row>
    <row r="23" spans="2:34" ht="15.95" customHeight="1">
      <c r="H23" s="46"/>
      <c r="R23" s="3"/>
      <c r="S23" s="70"/>
      <c r="T23" s="71"/>
      <c r="U23" s="71"/>
      <c r="V23" s="71"/>
      <c r="W23" s="71"/>
      <c r="X23" s="70"/>
      <c r="Y23" s="71"/>
      <c r="Z23" s="69"/>
      <c r="AD23" s="56"/>
      <c r="AE23" s="56"/>
      <c r="AF23" s="56"/>
      <c r="AG23" s="56"/>
      <c r="AH23" s="56"/>
    </row>
    <row r="24" spans="2:34" ht="20.100000000000001" customHeight="1">
      <c r="D24" s="57"/>
      <c r="E24" s="57"/>
      <c r="F24" s="57"/>
      <c r="G24" s="57"/>
      <c r="H24" s="57"/>
      <c r="I24" s="57"/>
      <c r="J24" s="57"/>
      <c r="K24" s="57"/>
      <c r="L24" s="57"/>
      <c r="M24" s="57"/>
      <c r="S24" s="70"/>
      <c r="T24" s="71"/>
      <c r="U24" s="69"/>
      <c r="V24" s="71"/>
      <c r="W24" s="71"/>
      <c r="X24" s="72"/>
      <c r="Y24" s="73"/>
      <c r="Z24" s="69"/>
    </row>
    <row r="25" spans="2:34" ht="15" customHeight="1">
      <c r="B25" s="58"/>
      <c r="C25" s="58"/>
      <c r="D25" s="58"/>
      <c r="E25" s="58"/>
      <c r="F25" s="58"/>
      <c r="G25" s="58"/>
      <c r="H25" s="88" t="s">
        <v>64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70"/>
      <c r="T25" s="71"/>
      <c r="U25" s="69"/>
      <c r="V25" s="71"/>
      <c r="W25" s="71"/>
      <c r="X25" s="65"/>
      <c r="Y25" s="65"/>
      <c r="Z25" s="65"/>
    </row>
    <row r="26" spans="2:34" ht="14.1" customHeight="1">
      <c r="B26" s="59"/>
      <c r="C26" s="59"/>
      <c r="D26" s="59"/>
      <c r="E26" s="59"/>
      <c r="F26" s="59"/>
      <c r="G26" s="59"/>
      <c r="H26" s="59"/>
      <c r="I26" s="89" t="s">
        <v>65</v>
      </c>
      <c r="J26" s="89"/>
      <c r="K26" s="89"/>
      <c r="L26" s="89"/>
      <c r="M26" s="89"/>
      <c r="N26" s="89"/>
      <c r="O26" s="89"/>
      <c r="P26" s="89"/>
      <c r="Q26" s="89"/>
      <c r="R26" s="89"/>
      <c r="S26" s="74"/>
      <c r="T26" s="75"/>
      <c r="U26" s="69"/>
      <c r="V26" s="76"/>
      <c r="W26" s="76"/>
      <c r="X26" s="70"/>
      <c r="Y26" s="76"/>
      <c r="Z26" s="69"/>
    </row>
    <row r="27" spans="2:34" ht="12.95" customHeight="1">
      <c r="C27" s="100"/>
      <c r="D27" s="100"/>
      <c r="E27" s="100"/>
      <c r="F27" s="100"/>
      <c r="G27" s="100"/>
      <c r="H27" s="46"/>
      <c r="N27" s="90"/>
      <c r="O27" s="90"/>
      <c r="P27" s="90"/>
      <c r="Q27" s="90"/>
      <c r="R27" s="90"/>
      <c r="T27" s="77"/>
    </row>
    <row r="30" spans="2:34">
      <c r="H30" s="46"/>
    </row>
    <row r="31" spans="2:34">
      <c r="H31" s="46"/>
    </row>
    <row r="32" spans="2:34">
      <c r="H32" s="46"/>
    </row>
    <row r="33" spans="8:8">
      <c r="H33" s="46"/>
    </row>
    <row r="34" spans="8:8">
      <c r="H34" s="46"/>
    </row>
  </sheetData>
  <sheetProtection password="F613" sheet="1" objects="1" scenarios="1" selectLockedCells="1"/>
  <mergeCells count="18">
    <mergeCell ref="H25:R25"/>
    <mergeCell ref="I26:R26"/>
    <mergeCell ref="N27:R27"/>
    <mergeCell ref="B1:R1"/>
    <mergeCell ref="S21:V21"/>
    <mergeCell ref="B2:B17"/>
    <mergeCell ref="E2:E18"/>
    <mergeCell ref="D2:D18"/>
    <mergeCell ref="C2:C18"/>
    <mergeCell ref="C27:G27"/>
    <mergeCell ref="W21:Z21"/>
    <mergeCell ref="V6:W6"/>
    <mergeCell ref="N5:O5"/>
    <mergeCell ref="F3:Q3"/>
    <mergeCell ref="K8:L8"/>
    <mergeCell ref="J8:J10"/>
    <mergeCell ref="G5:H5"/>
    <mergeCell ref="O18:R18"/>
  </mergeCells>
  <conditionalFormatting sqref="O14">
    <cfRule type="expression" dxfId="4" priority="1">
      <formula>OR(IF($O$14&gt;=10000,1),IF($O$14&lt;0.01,1))</formula>
    </cfRule>
    <cfRule type="expression" dxfId="3" priority="7">
      <formula>AND(IF($O$14&gt;=0.01,1),IF($O$14&lt;10,1))</formula>
    </cfRule>
  </conditionalFormatting>
  <conditionalFormatting sqref="P15">
    <cfRule type="expression" dxfId="2" priority="6">
      <formula>OR(IF($O$14&gt;=10000,1),IF($O$14&lt;0.01,1))</formula>
    </cfRule>
  </conditionalFormatting>
  <conditionalFormatting sqref="H13">
    <cfRule type="expression" dxfId="1" priority="3">
      <formula>IF($H$12=$T$1,1)</formula>
    </cfRule>
  </conditionalFormatting>
  <conditionalFormatting sqref="H11">
    <cfRule type="expression" dxfId="0" priority="9">
      <formula>IF($H$12=$W$1,1)</formula>
    </cfRule>
  </conditionalFormatting>
  <dataValidations count="14">
    <dataValidation type="list" allowBlank="1" showInputMessage="1" showErrorMessage="1" sqref="I14">
      <formula1>$T$3:$Y$3</formula1>
    </dataValidation>
    <dataValidation type="list" allowBlank="1" showInputMessage="1" showErrorMessage="1" sqref="P12">
      <formula1>$T$5:$U$5</formula1>
    </dataValidation>
    <dataValidation type="list" allowBlank="1" showInputMessage="1" showErrorMessage="1" sqref="P14:P15">
      <formula1>$T$4:$Z$4</formula1>
    </dataValidation>
    <dataValidation type="list" allowBlank="1" showInputMessage="1" showErrorMessage="1" sqref="H12">
      <formula1>$T$1:$W$1</formula1>
    </dataValidation>
    <dataValidation type="list" allowBlank="1" showInputMessage="1" showErrorMessage="1" sqref="T25">
      <formula1>$L$32:$L$33</formula1>
    </dataValidation>
    <dataValidation type="decimal" allowBlank="1" showErrorMessage="1" errorTitle="Invalid value" error="The effective length of the capillary cannot be longer than the total length." sqref="H8">
      <formula1>0.0001</formula1>
      <formula2>H7</formula2>
    </dataValidation>
    <dataValidation type="decimal" operator="greaterThanOrEqual" allowBlank="1" showErrorMessage="1" errorTitle="Invalid value" error="The total length of the capillary cannot be shorter than the  effective length." sqref="H7">
      <formula1>H8</formula1>
    </dataValidation>
    <dataValidation type="list" allowBlank="1" showInputMessage="1" showErrorMessage="1" sqref="I9">
      <formula1>$V$5:$W$5</formula1>
    </dataValidation>
    <dataValidation type="list" allowBlank="1" showInputMessage="1" showErrorMessage="1" sqref="I7">
      <formula1>$X$5:$Y$5</formula1>
    </dataValidation>
    <dataValidation type="decimal" operator="greaterThan" allowBlank="1" showInputMessage="1" showErrorMessage="1" sqref="H6 H9:H10">
      <formula1>0</formula1>
    </dataValidation>
    <dataValidation type="decimal" allowBlank="1" showInputMessage="1" showErrorMessage="1" sqref="H13">
      <formula1>0</formula1>
      <formula2>100</formula2>
    </dataValidation>
    <dataValidation type="decimal" allowBlank="1" showInputMessage="1" showErrorMessage="1" sqref="H11">
      <formula1>-10</formula1>
      <formula2>200</formula2>
    </dataValidation>
    <dataValidation type="decimal" operator="greaterThanOrEqual" allowBlank="1" showInputMessage="1" showErrorMessage="1" sqref="H14">
      <formula1>0</formula1>
    </dataValidation>
    <dataValidation type="decimal" operator="greaterThanOrEqual" allowBlank="1" showInputMessage="1" showErrorMessage="1" sqref="H15">
      <formula1>1</formula1>
    </dataValidation>
  </dataValidations>
  <hyperlinks>
    <hyperlink ref="O27" r:id="rId1" display="mailto:victor.gonzalez@unige.ch"/>
    <hyperlink ref="P27" r:id="rId2" display="mailto:victor.gonzalez@unige.ch"/>
    <hyperlink ref="Q27" r:id="rId3" display="mailto:victor.gonzalez@unige.ch"/>
    <hyperlink ref="R27" r:id="rId4" display="mailto:victor.gonzalez@unige.ch"/>
  </hyperlinks>
  <pageMargins left="0.75" right="0.75" top="1" bottom="1" header="0.5" footer="0.5"/>
  <pageSetup paperSize="9" orientation="portrait" horizontalDpi="4294967292" verticalDpi="4294967292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Injection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Víctor González Ruiz</dc:creator>
  <cp:keywords/>
  <dc:description/>
  <cp:lastModifiedBy>Christophe FRANCEY</cp:lastModifiedBy>
  <dcterms:created xsi:type="dcterms:W3CDTF">2015-02-18T09:56:38Z</dcterms:created>
  <dcterms:modified xsi:type="dcterms:W3CDTF">2016-04-25T14:29:38Z</dcterms:modified>
  <cp:category/>
</cp:coreProperties>
</file>